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rhenag\eigener DSO\SLP_verfahrensspez_Parameter\20211001_THE\"/>
    </mc:Choice>
  </mc:AlternateContent>
  <bookViews>
    <workbookView xWindow="240" yWindow="795" windowWidth="15600" windowHeight="6750" tabRatio="789"/>
  </bookViews>
  <sheets>
    <sheet name="Info" sheetId="14" r:id="rId1"/>
    <sheet name="Netzbetreiber" sheetId="5" r:id="rId2"/>
    <sheet name="SLP-Verfahren" sheetId="15" r:id="rId3"/>
    <sheet name="SLP-Temp-Gebiet Düsseldorf" sheetId="17" r:id="rId4"/>
    <sheet name="SLP-Temp-Gebiet #02" sheetId="18" state="hidden" r:id="rId5"/>
    <sheet name="SLP-Temp-Gebiet KölnBonn" sheetId="19" r:id="rId6"/>
    <sheet name="SLP-Profile" sheetId="7" r:id="rId7"/>
    <sheet name="BDEW-Standard" sheetId="8" state="hidden" r:id="rId8"/>
    <sheet name="SLP-Feiertage" sheetId="1" r:id="rId9"/>
    <sheet name="Wochentag F(WT)" sheetId="4" state="hidden" r:id="rId10"/>
  </sheets>
  <definedNames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6">'SLP-Profile'!$E$12:$E$41</definedName>
    <definedName name="_xlnm.Print_Area" localSheetId="9">'Wochentag F(WT)'!$A$1:$P$22</definedName>
  </definedNames>
  <calcPr calcId="162913"/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N63" i="19"/>
  <c r="M63" i="19"/>
  <c r="K63" i="19"/>
  <c r="J63" i="19"/>
  <c r="I63" i="19"/>
  <c r="G63" i="19"/>
  <c r="F63" i="19"/>
  <c r="E63" i="19"/>
  <c r="F62" i="19"/>
  <c r="L63" i="19" s="1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N53" i="19"/>
  <c r="M53" i="19"/>
  <c r="K53" i="19"/>
  <c r="J53" i="19"/>
  <c r="I53" i="19"/>
  <c r="G53" i="19"/>
  <c r="F53" i="19"/>
  <c r="E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D32" i="19" s="1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F11" i="19"/>
  <c r="F9" i="19"/>
  <c r="E6" i="19"/>
  <c r="E4" i="19"/>
  <c r="M31" i="19" l="1"/>
  <c r="I31" i="19"/>
  <c r="L31" i="19"/>
  <c r="H31" i="19"/>
  <c r="N31" i="19"/>
  <c r="J31" i="19"/>
  <c r="F31" i="19"/>
  <c r="K31" i="19"/>
  <c r="G31" i="19"/>
  <c r="N21" i="19"/>
  <c r="J21" i="19"/>
  <c r="F21" i="19"/>
  <c r="M21" i="19"/>
  <c r="L21" i="19"/>
  <c r="H21" i="19"/>
  <c r="K21" i="19"/>
  <c r="G21" i="19"/>
  <c r="I21" i="19"/>
  <c r="H53" i="19"/>
  <c r="D56" i="19" s="1"/>
  <c r="H63" i="19"/>
  <c r="D66" i="19" s="1"/>
  <c r="E6" i="17"/>
  <c r="E4" i="17"/>
  <c r="W39" i="7"/>
  <c r="V39" i="7"/>
  <c r="U39" i="7"/>
  <c r="T39" i="7"/>
  <c r="S39" i="7"/>
  <c r="R39" i="7"/>
  <c r="W38" i="7"/>
  <c r="V38" i="7"/>
  <c r="U38" i="7"/>
  <c r="T38" i="7"/>
  <c r="S38" i="7"/>
  <c r="R38" i="7"/>
  <c r="W36" i="7"/>
  <c r="V36" i="7"/>
  <c r="U36" i="7"/>
  <c r="T36" i="7"/>
  <c r="S36" i="7"/>
  <c r="R36" i="7"/>
  <c r="W35" i="7"/>
  <c r="V35" i="7"/>
  <c r="U35" i="7"/>
  <c r="T35" i="7"/>
  <c r="S35" i="7"/>
  <c r="R35" i="7"/>
  <c r="W34" i="7"/>
  <c r="V34" i="7"/>
  <c r="U34" i="7"/>
  <c r="T34" i="7"/>
  <c r="S34" i="7"/>
  <c r="R34" i="7"/>
  <c r="W33" i="7"/>
  <c r="V33" i="7"/>
  <c r="U33" i="7"/>
  <c r="T33" i="7"/>
  <c r="S33" i="7"/>
  <c r="R33" i="7"/>
  <c r="W32" i="7"/>
  <c r="V32" i="7"/>
  <c r="U32" i="7"/>
  <c r="T32" i="7"/>
  <c r="S32" i="7"/>
  <c r="R32" i="7"/>
  <c r="W31" i="7"/>
  <c r="V31" i="7"/>
  <c r="U31" i="7"/>
  <c r="T31" i="7"/>
  <c r="S31" i="7"/>
  <c r="R31" i="7"/>
  <c r="W30" i="7"/>
  <c r="V30" i="7"/>
  <c r="U30" i="7"/>
  <c r="T30" i="7"/>
  <c r="S30" i="7"/>
  <c r="R30" i="7"/>
  <c r="W29" i="7"/>
  <c r="V29" i="7"/>
  <c r="U29" i="7"/>
  <c r="T29" i="7"/>
  <c r="S29" i="7"/>
  <c r="R29" i="7"/>
  <c r="W28" i="7"/>
  <c r="V28" i="7"/>
  <c r="U28" i="7"/>
  <c r="T28" i="7"/>
  <c r="S28" i="7"/>
  <c r="R28" i="7"/>
  <c r="W27" i="7"/>
  <c r="V27" i="7"/>
  <c r="U27" i="7"/>
  <c r="T27" i="7"/>
  <c r="S27" i="7"/>
  <c r="R27" i="7"/>
  <c r="E21" i="19" l="1"/>
  <c r="K65" i="19"/>
  <c r="G65" i="19"/>
  <c r="M65" i="19"/>
  <c r="I65" i="19"/>
  <c r="L65" i="19"/>
  <c r="H65" i="19"/>
  <c r="F65" i="19"/>
  <c r="E65" i="19" s="1"/>
  <c r="J65" i="19"/>
  <c r="N65" i="19"/>
  <c r="K55" i="19"/>
  <c r="G55" i="19"/>
  <c r="M55" i="19"/>
  <c r="I55" i="19"/>
  <c r="L55" i="19"/>
  <c r="H55" i="19"/>
  <c r="J55" i="19"/>
  <c r="N55" i="19"/>
  <c r="F55" i="19"/>
  <c r="E31" i="19"/>
  <c r="X39" i="7"/>
  <c r="X27" i="7"/>
  <c r="X29" i="7"/>
  <c r="X31" i="7"/>
  <c r="X32" i="7"/>
  <c r="X33" i="7"/>
  <c r="X34" i="7"/>
  <c r="X35" i="7"/>
  <c r="X36" i="7"/>
  <c r="X38" i="7"/>
  <c r="X28" i="7"/>
  <c r="X30" i="7"/>
  <c r="C30" i="15"/>
  <c r="C29" i="15"/>
  <c r="C26" i="15"/>
  <c r="C25" i="15"/>
  <c r="E55" i="19" l="1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K63" i="18"/>
  <c r="J63" i="18"/>
  <c r="F63" i="18"/>
  <c r="M63" i="18"/>
  <c r="I53" i="18"/>
  <c r="E53" i="18"/>
  <c r="J53" i="18"/>
  <c r="D32" i="18"/>
  <c r="K31" i="18" s="1"/>
  <c r="F53" i="18"/>
  <c r="K53" i="18"/>
  <c r="N53" i="18"/>
  <c r="D22" i="18"/>
  <c r="N21" i="18" s="1"/>
  <c r="G53" i="18"/>
  <c r="M53" i="18"/>
  <c r="I63" i="18"/>
  <c r="N63" i="18"/>
  <c r="K21" i="18"/>
  <c r="D56" i="18"/>
  <c r="J55" i="18" s="1"/>
  <c r="J31" i="18"/>
  <c r="H53" i="18"/>
  <c r="H63" i="18"/>
  <c r="D21" i="15"/>
  <c r="C20" i="15"/>
  <c r="H31" i="18" l="1"/>
  <c r="I31" i="18"/>
  <c r="N31" i="18"/>
  <c r="L31" i="18"/>
  <c r="H21" i="18"/>
  <c r="F21" i="18"/>
  <c r="D66" i="18"/>
  <c r="N65" i="18" s="1"/>
  <c r="M31" i="18"/>
  <c r="G31" i="18"/>
  <c r="M21" i="18"/>
  <c r="L21" i="18"/>
  <c r="J21" i="18"/>
  <c r="F31" i="18"/>
  <c r="E31" i="18" s="1"/>
  <c r="G21" i="18"/>
  <c r="I21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E21" i="18"/>
  <c r="G65" i="18"/>
  <c r="M65" i="18"/>
  <c r="H65" i="18"/>
  <c r="E55" i="18"/>
  <c r="F65" i="18"/>
  <c r="J65" i="18"/>
  <c r="K65" i="18"/>
  <c r="I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E5" i="19" s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37" i="7" s="1"/>
  <c r="H21" i="4"/>
  <c r="V37" i="7" s="1"/>
  <c r="G21" i="4"/>
  <c r="U37" i="7" s="1"/>
  <c r="F21" i="4"/>
  <c r="T37" i="7" s="1"/>
  <c r="E21" i="4"/>
  <c r="S37" i="7" s="1"/>
  <c r="D21" i="4"/>
  <c r="R37" i="7" s="1"/>
  <c r="X37" i="7" s="1"/>
  <c r="M20" i="4"/>
  <c r="M19" i="4"/>
  <c r="M16" i="4"/>
  <c r="M18" i="4"/>
  <c r="M17" i="4"/>
  <c r="M15" i="4"/>
  <c r="M14" i="4"/>
  <c r="M13" i="4"/>
  <c r="M12" i="4"/>
  <c r="M11" i="4"/>
  <c r="C6" i="8" l="1"/>
  <c r="B6" i="8"/>
  <c r="C3" i="8"/>
  <c r="B3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39" i="7" l="1"/>
  <c r="L39" i="7"/>
  <c r="H39" i="7"/>
  <c r="P38" i="7"/>
  <c r="L38" i="7"/>
  <c r="H38" i="7"/>
  <c r="P37" i="7"/>
  <c r="L37" i="7"/>
  <c r="H37" i="7"/>
  <c r="P36" i="7"/>
  <c r="L36" i="7"/>
  <c r="H36" i="7"/>
  <c r="P35" i="7"/>
  <c r="L35" i="7"/>
  <c r="H35" i="7"/>
  <c r="P34" i="7"/>
  <c r="L34" i="7"/>
  <c r="H34" i="7"/>
  <c r="P33" i="7"/>
  <c r="L33" i="7"/>
  <c r="H33" i="7"/>
  <c r="P32" i="7"/>
  <c r="L32" i="7"/>
  <c r="H32" i="7"/>
  <c r="P31" i="7"/>
  <c r="L31" i="7"/>
  <c r="H31" i="7"/>
  <c r="P30" i="7"/>
  <c r="L30" i="7"/>
  <c r="H30" i="7"/>
  <c r="P29" i="7"/>
  <c r="L29" i="7"/>
  <c r="H29" i="7"/>
  <c r="P28" i="7"/>
  <c r="L28" i="7"/>
  <c r="H28" i="7"/>
  <c r="P27" i="7"/>
  <c r="L27" i="7"/>
  <c r="H27" i="7"/>
  <c r="N15" i="7"/>
  <c r="J15" i="7"/>
  <c r="P14" i="7"/>
  <c r="L14" i="7"/>
  <c r="H14" i="7"/>
  <c r="N13" i="7"/>
  <c r="J13" i="7"/>
  <c r="P12" i="7"/>
  <c r="L12" i="7"/>
  <c r="H12" i="7"/>
  <c r="N39" i="7"/>
  <c r="N38" i="7"/>
  <c r="N37" i="7"/>
  <c r="N36" i="7"/>
  <c r="N35" i="7"/>
  <c r="J35" i="7"/>
  <c r="N34" i="7"/>
  <c r="N33" i="7"/>
  <c r="N32" i="7"/>
  <c r="N31" i="7"/>
  <c r="J31" i="7"/>
  <c r="N30" i="7"/>
  <c r="N29" i="7"/>
  <c r="J29" i="7"/>
  <c r="J28" i="7"/>
  <c r="J27" i="7"/>
  <c r="L15" i="7"/>
  <c r="N14" i="7"/>
  <c r="P13" i="7"/>
  <c r="H13" i="7"/>
  <c r="J12" i="7"/>
  <c r="M39" i="7"/>
  <c r="I39" i="7"/>
  <c r="I38" i="7"/>
  <c r="M37" i="7"/>
  <c r="I37" i="7"/>
  <c r="M36" i="7"/>
  <c r="I36" i="7"/>
  <c r="M35" i="7"/>
  <c r="I35" i="7"/>
  <c r="M34" i="7"/>
  <c r="I34" i="7"/>
  <c r="M33" i="7"/>
  <c r="O39" i="7"/>
  <c r="K39" i="7"/>
  <c r="F39" i="7"/>
  <c r="O38" i="7"/>
  <c r="K38" i="7"/>
  <c r="F38" i="7"/>
  <c r="O37" i="7"/>
  <c r="K37" i="7"/>
  <c r="F37" i="7"/>
  <c r="O36" i="7"/>
  <c r="K36" i="7"/>
  <c r="F36" i="7"/>
  <c r="O35" i="7"/>
  <c r="K35" i="7"/>
  <c r="F35" i="7"/>
  <c r="O34" i="7"/>
  <c r="K34" i="7"/>
  <c r="F34" i="7"/>
  <c r="O33" i="7"/>
  <c r="K33" i="7"/>
  <c r="F33" i="7"/>
  <c r="O32" i="7"/>
  <c r="K32" i="7"/>
  <c r="F32" i="7"/>
  <c r="O31" i="7"/>
  <c r="K31" i="7"/>
  <c r="F31" i="7"/>
  <c r="O30" i="7"/>
  <c r="K30" i="7"/>
  <c r="F30" i="7"/>
  <c r="O29" i="7"/>
  <c r="K29" i="7"/>
  <c r="F29" i="7"/>
  <c r="O28" i="7"/>
  <c r="K28" i="7"/>
  <c r="F28" i="7"/>
  <c r="O27" i="7"/>
  <c r="K27" i="7"/>
  <c r="F27" i="7"/>
  <c r="M15" i="7"/>
  <c r="I15" i="7"/>
  <c r="O14" i="7"/>
  <c r="K14" i="7"/>
  <c r="F14" i="7"/>
  <c r="M13" i="7"/>
  <c r="I13" i="7"/>
  <c r="O12" i="7"/>
  <c r="K12" i="7"/>
  <c r="F12" i="7"/>
  <c r="J39" i="7"/>
  <c r="J38" i="7"/>
  <c r="J37" i="7"/>
  <c r="J36" i="7"/>
  <c r="J34" i="7"/>
  <c r="J33" i="7"/>
  <c r="J32" i="7"/>
  <c r="J30" i="7"/>
  <c r="N28" i="7"/>
  <c r="N27" i="7"/>
  <c r="P15" i="7"/>
  <c r="H15" i="7"/>
  <c r="J14" i="7"/>
  <c r="L13" i="7"/>
  <c r="N12" i="7"/>
  <c r="M38" i="7"/>
  <c r="I30" i="7"/>
  <c r="F13" i="7"/>
  <c r="O15" i="7"/>
  <c r="I14" i="7"/>
  <c r="M12" i="7"/>
  <c r="K15" i="7"/>
  <c r="O13" i="7"/>
  <c r="I12" i="7"/>
  <c r="M32" i="7"/>
  <c r="M31" i="7"/>
  <c r="M30" i="7"/>
  <c r="M29" i="7"/>
  <c r="M28" i="7"/>
  <c r="M27" i="7"/>
  <c r="F15" i="7"/>
  <c r="K13" i="7"/>
  <c r="I33" i="7"/>
  <c r="I32" i="7"/>
  <c r="I31" i="7"/>
  <c r="I29" i="7"/>
  <c r="I28" i="7"/>
  <c r="I27" i="7"/>
  <c r="M14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26" i="7"/>
  <c r="F24" i="7"/>
  <c r="F22" i="7"/>
  <c r="F20" i="7"/>
  <c r="F18" i="7"/>
  <c r="F16" i="7"/>
  <c r="F11" i="7"/>
  <c r="M8" i="4"/>
  <c r="M7" i="4"/>
  <c r="C5" i="1"/>
  <c r="D6" i="15"/>
  <c r="D6" i="7"/>
  <c r="Q14" i="7" l="1"/>
  <c r="Q28" i="7"/>
  <c r="Q32" i="7"/>
  <c r="Q36" i="7"/>
  <c r="Q15" i="7"/>
  <c r="Q27" i="7"/>
  <c r="Q31" i="7"/>
  <c r="Q35" i="7"/>
  <c r="Q39" i="7"/>
  <c r="Q30" i="7"/>
  <c r="Q34" i="7"/>
  <c r="Q38" i="7"/>
  <c r="Q13" i="7"/>
  <c r="Q29" i="7"/>
  <c r="Q33" i="7"/>
  <c r="Q37" i="7"/>
  <c r="Q18" i="7"/>
  <c r="Q11" i="7"/>
  <c r="Q20" i="7"/>
  <c r="Q12" i="7"/>
  <c r="Q26" i="7"/>
  <c r="Q25" i="7"/>
  <c r="Q16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<sst xmlns="http://schemas.openxmlformats.org/spreadsheetml/2006/main" count="1606" uniqueCount="687">
  <si>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</si>
  <si>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</si>
  <si>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</si>
  <si>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</si>
  <si>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</si>
  <si>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</si>
  <si>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</si>
  <si>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</si>
  <si>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</si>
  <si>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</si>
  <si>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</si>
  <si>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</si>
  <si>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</si>
  <si>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</si>
  <si>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</si>
  <si>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</si>
  <si>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</si>
  <si>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</si>
  <si>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</si>
  <si>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</si>
  <si>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</si>
  <si>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</si>
  <si>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</si>
  <si>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</si>
  <si>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</si>
  <si>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</si>
  <si>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</si>
  <si>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</si>
  <si>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</si>
  <si>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</si>
  <si>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</si>
  <si>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</si>
  <si>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</si>
  <si>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</si>
  <si>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</si>
  <si>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</si>
  <si>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</si>
  <si>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</si>
  <si>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</si>
  <si>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</si>
  <si>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</si>
  <si>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</si>
  <si>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</si>
  <si>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</si>
  <si>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</si>
  <si>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</si>
  <si>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</si>
  <si>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</si>
  <si>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</si>
  <si>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</si>
  <si>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</si>
  <si>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</si>
  <si>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</si>
  <si>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</si>
  <si>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</si>
  <si>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</si>
  <si>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</si>
  <si>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</si>
  <si>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</si>
  <si>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</si>
  <si>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</si>
  <si>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</si>
  <si>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</si>
  <si>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</si>
  <si>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</si>
  <si>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</si>
  <si>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</si>
  <si>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</si>
  <si>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</si>
  <si>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</si>
  <si>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</si>
  <si>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</si>
  <si>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</si>
  <si>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</si>
  <si>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</si>
  <si>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</si>
  <si>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</si>
  <si>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</si>
  <si>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</si>
  <si>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</si>
  <si>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</si>
  <si>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</si>
  <si>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</si>
  <si>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</si>
  <si>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</si>
  <si>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</si>
  <si>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</si>
  <si>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</si>
  <si>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</si>
  <si>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</si>
  <si>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</si>
  <si>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</si>
  <si>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</si>
  <si>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</si>
  <si>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</si>
  <si>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</si>
  <si>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</si>
  <si>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</si>
  <si>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</si>
  <si>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</si>
  <si>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</si>
  <si>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</si>
  <si>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</si>
  <si>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</si>
  <si>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</si>
  <si>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</si>
  <si>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</si>
  <si>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</si>
  <si>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</si>
  <si>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</si>
  <si>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</si>
  <si>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</si>
  <si>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</si>
  <si>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</si>
  <si>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</si>
  <si>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</si>
  <si>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</si>
  <si>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</si>
  <si>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</si>
  <si>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</si>
  <si>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</si>
  <si>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</si>
  <si>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</si>
  <si>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</si>
  <si>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</si>
  <si>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</si>
  <si>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</si>
  <si>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</si>
  <si>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</si>
  <si>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</si>
  <si>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</si>
  <si>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</si>
  <si>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</si>
  <si>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</si>
  <si>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</si>
  <si>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</si>
  <si>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</si>
  <si>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</si>
  <si>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</si>
  <si>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</si>
  <si>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</si>
  <si>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</si>
  <si>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</si>
  <si>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</si>
  <si>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</si>
  <si>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</si>
  <si>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</si>
  <si>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</si>
  <si>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</si>
  <si>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</si>
  <si>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</si>
  <si>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</si>
  <si>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</si>
  <si>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</si>
  <si>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</si>
  <si>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</si>
  <si>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</si>
  <si>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</si>
  <si>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</si>
  <si>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</si>
  <si>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</si>
  <si>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</si>
  <si>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</si>
  <si>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</si>
  <si>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</si>
  <si>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</si>
  <si>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</si>
  <si>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</si>
  <si>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</si>
  <si>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</si>
  <si>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</si>
  <si>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</si>
  <si>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</si>
  <si>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</si>
  <si>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</si>
  <si>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</si>
  <si>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</si>
  <si>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</si>
  <si>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</si>
  <si>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</si>
  <si>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</si>
  <si>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</si>
  <si>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</si>
  <si>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</si>
  <si>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</si>
  <si>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</si>
  <si>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</si>
  <si>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</si>
  <si>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</si>
  <si>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</si>
  <si>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</si>
  <si>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</si>
  <si>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</si>
  <si>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</si>
  <si>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</si>
  <si>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</si>
  <si>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</si>
  <si>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</si>
  <si>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</si>
  <si>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</si>
  <si>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</si>
  <si>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</si>
  <si>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</si>
  <si>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</si>
  <si>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</si>
  <si>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</si>
  <si>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</si>
  <si>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</si>
  <si>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</si>
  <si>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</si>
  <si>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</si>
  <si>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</si>
  <si>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</si>
  <si>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</si>
  <si>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</si>
  <si>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</si>
  <si>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</si>
  <si>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</si>
  <si>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</si>
  <si>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</si>
  <si>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</si>
  <si>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</si>
  <si>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</si>
  <si>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</si>
  <si>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</si>
  <si>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</si>
  <si>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</si>
  <si>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</si>
  <si>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</si>
  <si>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</si>
  <si>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</si>
  <si>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</si>
  <si>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</si>
  <si>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</si>
  <si>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</si>
  <si>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</si>
  <si>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</si>
  <si>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</si>
  <si>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</si>
  <si>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</si>
  <si>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</si>
  <si>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</si>
  <si>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</si>
  <si>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</si>
  <si>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</si>
  <si>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</si>
  <si>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</si>
  <si>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</si>
  <si>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</si>
  <si>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</si>
  <si>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</si>
  <si>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</si>
  <si>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</si>
  <si>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</si>
  <si>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</si>
  <si>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</si>
  <si>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</si>
  <si>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</si>
  <si>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</si>
  <si>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</si>
  <si>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</si>
  <si>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</si>
  <si>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</si>
  <si>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</si>
  <si>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</si>
  <si>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</si>
  <si>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</si>
  <si>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</si>
  <si>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</si>
  <si>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</si>
  <si>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</si>
  <si>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</si>
  <si>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</si>
  <si>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</si>
  <si>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</si>
  <si>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</si>
  <si>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</si>
  <si>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</si>
  <si>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</si>
  <si>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</si>
  <si>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</si>
  <si>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</si>
  <si>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</si>
  <si>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</si>
  <si>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</si>
  <si>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</si>
  <si>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</si>
  <si>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</si>
  <si>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</si>
  <si>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</si>
  <si>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</si>
  <si>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</si>
  <si>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</si>
  <si>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</si>
  <si>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</si>
  <si>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</si>
  <si>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</si>
  <si>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</si>
  <si>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</si>
  <si>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</si>
  <si>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</si>
  <si>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</si>
  <si>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</si>
  <si>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</si>
  <si>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</si>
  <si>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</si>
  <si>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</si>
  <si>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</si>
  <si>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</si>
  <si>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</si>
  <si>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</si>
  <si>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</si>
  <si>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</si>
  <si>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</si>
  <si>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</si>
  <si>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</si>
  <si>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</si>
  <si>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</si>
  <si>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</si>
  <si>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</si>
  <si>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</si>
  <si>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</si>
  <si>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</si>
  <si>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</si>
  <si>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</si>
  <si>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</si>
  <si>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</si>
  <si>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</si>
  <si>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</si>
  <si>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</si>
  <si>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</si>
  <si>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</si>
  <si>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</si>
  <si>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</si>
  <si>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</si>
  <si>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</si>
  <si>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</si>
  <si>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</si>
  <si>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</si>
  <si>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</si>
  <si>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</si>
  <si>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</si>
  <si>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</si>
  <si>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</si>
  <si>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</si>
  <si>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</si>
  <si>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</si>
  <si>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</si>
  <si>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</si>
  <si>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</si>
  <si>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</si>
  <si>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</si>
  <si>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</si>
  <si>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</si>
  <si>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</si>
  <si>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</si>
  <si>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</si>
  <si>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</si>
  <si>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</si>
  <si>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</si>
  <si>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</si>
  <si>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</si>
  <si>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</si>
  <si>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</si>
  <si>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</si>
  <si>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</si>
  <si>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</si>
  <si>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</si>
  <si>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</si>
  <si>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</si>
  <si>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</si>
  <si>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</si>
  <si>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</si>
  <si>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</si>
  <si>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</si>
  <si>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</si>
  <si>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</si>
  <si>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</si>
  <si>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</si>
  <si>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</si>
  <si>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</si>
  <si>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</si>
  <si>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</si>
  <si>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</si>
  <si>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</si>
  <si>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</si>
  <si>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</si>
  <si>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</si>
  <si>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</si>
  <si>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</si>
  <si>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</si>
  <si>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</si>
  <si>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</si>
  <si>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</si>
  <si>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</si>
  <si>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</si>
  <si>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</si>
  <si>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</si>
  <si>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</si>
  <si>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</si>
  <si>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</si>
  <si>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</si>
  <si>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</si>
  <si>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</si>
  <si>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</si>
  <si>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</si>
  <si>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</si>
  <si>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</si>
  <si>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</si>
  <si>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</si>
  <si>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</si>
  <si>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</si>
  <si>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</si>
  <si>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</si>
  <si>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</si>
  <si>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</si>
  <si>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</si>
  <si>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</si>
  <si>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</si>
  <si>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</si>
  <si>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</si>
  <si>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</si>
  <si>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</si>
  <si>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</si>
  <si>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</si>
  <si>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</si>
  <si>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</si>
  <si>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</si>
  <si>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</si>
  <si>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</si>
  <si>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</si>
  <si>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</si>
  <si>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</si>
  <si>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</si>
  <si>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</si>
  <si>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</si>
  <si>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</si>
  <si>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</si>
  <si>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</si>
  <si>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</si>
  <si>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</si>
  <si>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</si>
  <si>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</si>
  <si>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</si>
  <si>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</si>
  <si>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</si>
  <si>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</si>
  <si>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</si>
  <si>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</si>
  <si>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</si>
  <si>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</si>
  <si>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</si>
  <si>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</si>
  <si>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</si>
  <si>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</si>
  <si>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</si>
  <si>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</si>
  <si>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</si>
  <si>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</si>
  <si>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</si>
  <si>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</si>
  <si>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</si>
  <si>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</si>
  <si>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</si>
  <si>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</si>
  <si>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</si>
  <si>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</si>
  <si>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</si>
  <si>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</si>
  <si>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</si>
  <si>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</si>
  <si>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</si>
  <si>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</si>
  <si>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</si>
  <si>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</si>
  <si>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</si>
  <si>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</si>
  <si>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</si>
  <si>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</si>
  <si>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</si>
  <si>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</si>
  <si>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</si>
  <si>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</si>
  <si>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</si>
  <si>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</si>
  <si>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</si>
  <si>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</si>
  <si>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</si>
  <si>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</si>
  <si>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</si>
  <si>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</si>
  <si>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</si>
  <si>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</si>
  <si>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</si>
  <si>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</si>
  <si>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</si>
  <si>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</si>
  <si>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</si>
  <si>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</si>
  <si>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</si>
  <si>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</si>
  <si>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</si>
  <si>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</si>
  <si>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</si>
  <si>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</si>
  <si>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</si>
  <si>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</si>
  <si>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</si>
  <si>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</si>
  <si>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</si>
  <si>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</si>
  <si>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</si>
  <si>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</si>
  <si>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</si>
  <si>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</si>
  <si>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</si>
  <si>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</si>
  <si>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</si>
  <si>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</si>
  <si>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</si>
  <si>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</si>
  <si>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</si>
  <si>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</si>
  <si>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</si>
  <si>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</si>
  <si>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</si>
  <si>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</si>
  <si>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</si>
  <si>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</si>
  <si>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</si>
  <si>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</si>
  <si>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</si>
  <si>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</si>
  <si>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</si>
  <si>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</si>
  <si>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</si>
  <si>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</si>
  <si>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</si>
  <si>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</si>
  <si>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</si>
  <si>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</si>
  <si>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</si>
  <si>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</si>
  <si>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</si>
  <si>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</si>
  <si>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</si>
  <si>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</si>
  <si>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</si>
  <si>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</si>
  <si>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</si>
  <si>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</si>
  <si>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</si>
  <si>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</si>
  <si>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</si>
  <si>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</si>
  <si>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</si>
  <si>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</si>
  <si>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</si>
  <si>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</si>
  <si>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</si>
  <si>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</si>
  <si>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</si>
  <si>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</si>
  <si>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</si>
  <si>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</si>
  <si>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</si>
  <si>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</si>
  <si>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</si>
  <si>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</si>
  <si>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</si>
  <si>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</si>
  <si>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</si>
  <si>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</si>
  <si>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</si>
  <si>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</si>
  <si>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</si>
  <si>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</si>
  <si>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</si>
  <si>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</si>
  <si>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</si>
  <si>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</si>
  <si>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</si>
  <si>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</si>
  <si>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</si>
  <si>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</si>
  <si>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</si>
  <si>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</si>
  <si>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</si>
  <si>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</si>
  <si>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</si>
  <si>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</si>
  <si>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</si>
  <si>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</si>
  <si>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</si>
  <si>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</si>
  <si>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</si>
  <si>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</si>
  <si>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</si>
  <si>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</si>
  <si>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</si>
  <si>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</si>
  <si>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</si>
  <si>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</si>
  <si>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</si>
  <si>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</si>
  <si>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</si>
  <si>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</si>
  <si>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</si>
  <si>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</si>
  <si>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</si>
  <si>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</si>
  <si>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</si>
  <si>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</si>
  <si>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</si>
  <si>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</si>
  <si>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</si>
  <si>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</si>
  <si>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</si>
  <si>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</si>
  <si>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</si>
  <si>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</si>
  <si>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</si>
  <si>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</si>
  <si>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</si>
  <si>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</si>
  <si>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</si>
  <si>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</si>
  <si>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</si>
  <si>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</si>
  <si>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</si>
  <si>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</si>
  <si>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</si>
  <si>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</si>
  <si>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</si>
  <si>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</si>
  <si>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</si>
  <si>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</si>
  <si>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</si>
  <si>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</si>
  <si>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</si>
  <si>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</si>
  <si>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</si>
  <si>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</si>
  <si>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</si>
  <si>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</si>
  <si>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</si>
  <si>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</si>
  <si>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</si>
  <si>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</si>
  <si>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DE_GMK03</t>
  </si>
  <si>
    <t>DE_GMK04</t>
  </si>
  <si>
    <t>DE_GHA03</t>
  </si>
  <si>
    <t>DE_GHA04</t>
  </si>
  <si>
    <t>DE_GKO03</t>
  </si>
  <si>
    <t>DE_GKO04</t>
  </si>
  <si>
    <t>DE_GBD03</t>
  </si>
  <si>
    <t>DE_GBD04</t>
  </si>
  <si>
    <t>DE_GGA03</t>
  </si>
  <si>
    <t>DE_GGA04</t>
  </si>
  <si>
    <t>DE_GBH03</t>
  </si>
  <si>
    <t>DE_GBH04</t>
  </si>
  <si>
    <t>DE_GWA03</t>
  </si>
  <si>
    <t>DE_GWA04</t>
  </si>
  <si>
    <t>DE_GGB03</t>
  </si>
  <si>
    <t>DE_GGB04</t>
  </si>
  <si>
    <t>DE_GBA03</t>
  </si>
  <si>
    <t>DE_GBA04</t>
  </si>
  <si>
    <t>DE_GPD03</t>
  </si>
  <si>
    <t>DE_GPD04</t>
  </si>
  <si>
    <t>DE_GMF03</t>
  </si>
  <si>
    <t>DE_GHD03</t>
  </si>
  <si>
    <t>DE_GHD04</t>
  </si>
  <si>
    <t>Rhein-Sieg Netz GmbH</t>
  </si>
  <si>
    <t>Bachstraße 3</t>
  </si>
  <si>
    <t>Siegburg</t>
  </si>
  <si>
    <t>Johannes Christ</t>
  </si>
  <si>
    <t>johannes.christ@rhein-sieg-netz.de</t>
  </si>
  <si>
    <t>02241/95921-206</t>
  </si>
  <si>
    <t>Die Veröffentlichung erfolgt im Rahmen der Vorgaben der Kooperationsvereinbarung und des Leitfadens "Abwicklung von Standardlastprofilen Gas".</t>
  </si>
  <si>
    <t>Düsseldorf-Flughafen</t>
  </si>
  <si>
    <t>Köln/Bonn</t>
  </si>
  <si>
    <t>Köln/Bonn-Flughafen</t>
  </si>
  <si>
    <t>0.2</t>
  </si>
  <si>
    <t>RSN THE L-Gas</t>
  </si>
  <si>
    <t>RSN THE H-Gas</t>
  </si>
  <si>
    <t>Netzkontonummer:</t>
  </si>
  <si>
    <t>THE0NKH701197000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</si>
</sst>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1" fontId="0" fillId="0" borderId="0" xfId="0" applyNumberFormat="1" applyAlignment="1">
      <alignment horizontal="left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M2" sqref="M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678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682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58" t="s">
        <v>250</v>
      </c>
      <c r="B3" s="238" t="s">
        <v>87</v>
      </c>
      <c r="C3" s="239"/>
      <c r="D3" s="360" t="s">
        <v>454</v>
      </c>
      <c r="E3" s="361"/>
      <c r="F3" s="361"/>
      <c r="G3" s="361"/>
      <c r="H3" s="361"/>
      <c r="I3" s="361"/>
      <c r="J3" s="362"/>
      <c r="K3" s="240"/>
      <c r="L3" s="240"/>
      <c r="M3" s="240"/>
      <c r="N3" s="240"/>
      <c r="O3" s="241"/>
      <c r="P3" s="240"/>
    </row>
    <row r="4" spans="1:16" ht="20.100000000000001" customHeight="1">
      <c r="A4" s="359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672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482</v>
      </c>
      <c r="D11" s="339">
        <v>9870119700002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673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53721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674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675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40" t="s">
        <v>676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677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456</v>
      </c>
      <c r="D27" s="42" t="s">
        <v>394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RSN THE H-Gas</v>
      </c>
      <c r="E28" s="38"/>
      <c r="F28" s="11"/>
      <c r="G28" s="2"/>
    </row>
    <row r="29" spans="1:15">
      <c r="B29" s="15"/>
      <c r="C29" s="22" t="s">
        <v>393</v>
      </c>
      <c r="D29" s="44" t="s">
        <v>683</v>
      </c>
      <c r="E29" s="40"/>
      <c r="F29" s="11"/>
      <c r="G29" s="2"/>
    </row>
    <row r="30" spans="1:15">
      <c r="B30" s="15"/>
      <c r="C30" s="22" t="s">
        <v>394</v>
      </c>
      <c r="D30" s="44" t="s">
        <v>684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9" priority="2">
      <formula>IF(CELL("Zeile",D29)&lt;$D$25+CELL("Zeile",$D$29),1,0)</formula>
    </cfRule>
  </conditionalFormatting>
  <conditionalFormatting sqref="D30:D48">
    <cfRule type="expression" dxfId="7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3" zoomScale="80" zoomScaleNormal="80" workbookViewId="0">
      <selection activeCell="D13" sqref="D1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Rhein-Sieg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RSN THE H-Gas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41">
        <f>Netzbetreiber!$D$11</f>
        <v>9870119700002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685</v>
      </c>
      <c r="D13" s="42" t="s">
        <v>686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366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577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28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2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679</v>
      </c>
    </row>
    <row r="46" spans="2:39" ht="18" customHeight="1">
      <c r="C46" s="22" t="s">
        <v>586</v>
      </c>
      <c r="D46" s="44" t="s">
        <v>680</v>
      </c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sheetProtection sheet="1" objects="1" scenarios="1"/>
  <conditionalFormatting sqref="D45:D59">
    <cfRule type="expression" dxfId="77" priority="17">
      <formula>IF(CELL("Zeile",D45)&lt;$D$43+CELL("Zeile",$D$45),1,0)</formula>
    </cfRule>
  </conditionalFormatting>
  <conditionalFormatting sqref="D46:D59">
    <cfRule type="expression" dxfId="76" priority="16">
      <formula>IF(CELL(D46)&lt;$D$33+27,1,0)</formula>
    </cfRule>
  </conditionalFormatting>
  <conditionalFormatting sqref="D20">
    <cfRule type="expression" dxfId="75" priority="15">
      <formula>IF($D$19=$H$19,1,0)</formula>
    </cfRule>
  </conditionalFormatting>
  <conditionalFormatting sqref="D28">
    <cfRule type="expression" dxfId="74" priority="4">
      <formula>IF($D$15="synthetisch",1,0)</formula>
    </cfRule>
  </conditionalFormatting>
  <conditionalFormatting sqref="D25">
    <cfRule type="expression" dxfId="73" priority="2">
      <formula>IF(AND($D$24=$I$24,$D$23=$H$23),1,0)</formula>
    </cfRule>
  </conditionalFormatting>
  <conditionalFormatting sqref="D23:D25">
    <cfRule type="expression" dxfId="72" priority="5">
      <formula>IF($D$15="analytisch",1,0)</formula>
    </cfRule>
  </conditionalFormatting>
  <conditionalFormatting sqref="D24">
    <cfRule type="expression" dxfId="71" priority="3">
      <formula>IF($D$23="nein",1)</formula>
    </cfRule>
  </conditionalFormatting>
  <conditionalFormatting sqref="D13">
    <cfRule type="expression" dxfId="70" priority="1">
      <formula>IF(#REF!="Gaspool",1,0)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1" t="s">
        <v>543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tr">
        <f>Netzbetreiber!D9</f>
        <v>Rhein-Sieg Netz GmbH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tr">
        <f>Netzbetreiber!D28</f>
        <v>RSN THE H-Gas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46">
        <f>Netzbetreiber!D11</f>
        <v>9870119700002</v>
      </c>
      <c r="F6" s="347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/>
      <c r="J8" s="130"/>
      <c r="K8" s="130"/>
      <c r="L8" s="130"/>
      <c r="M8" s="130"/>
      <c r="N8" s="130"/>
      <c r="O8" s="130"/>
    </row>
    <row r="9" spans="2:56">
      <c r="B9" s="130"/>
      <c r="C9" s="59" t="s">
        <v>521</v>
      </c>
      <c r="D9" s="130"/>
      <c r="E9" s="130"/>
      <c r="F9" s="154">
        <f>'SLP-Verfahren'!D43</f>
        <v>2</v>
      </c>
      <c r="H9" s="172"/>
      <c r="J9" s="130"/>
      <c r="K9" s="130"/>
      <c r="L9" s="130"/>
      <c r="M9" s="130"/>
      <c r="N9" s="130"/>
      <c r="O9" s="130"/>
    </row>
    <row r="10" spans="2:56">
      <c r="B10" s="130"/>
      <c r="C10" s="55" t="s">
        <v>584</v>
      </c>
      <c r="D10" s="130"/>
      <c r="E10" s="130"/>
      <c r="F10" s="299">
        <v>1</v>
      </c>
      <c r="G10" s="56"/>
      <c r="H10" s="172"/>
      <c r="J10" s="130"/>
      <c r="K10" s="130"/>
      <c r="L10" s="130"/>
      <c r="M10" s="130"/>
      <c r="N10" s="130"/>
      <c r="O10" s="130"/>
    </row>
    <row r="11" spans="2:56">
      <c r="B11" s="130"/>
      <c r="C11" s="55" t="s">
        <v>602</v>
      </c>
      <c r="D11" s="130"/>
      <c r="E11" s="130"/>
      <c r="F11" s="296" t="str">
        <f>INDEX('SLP-Verfahren'!D45:D59,'SLP-Temp-Gebiet Düsseldorf'!F10)</f>
        <v>Düsseldorf-Flughafen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583</v>
      </c>
      <c r="D13" s="343"/>
      <c r="E13" s="34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445</v>
      </c>
      <c r="D14" s="344"/>
      <c r="E14" s="89" t="s">
        <v>446</v>
      </c>
      <c r="F14" s="266" t="s">
        <v>86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2:56" ht="19.5" customHeight="1">
      <c r="B15" s="130"/>
      <c r="C15" s="344" t="s">
        <v>385</v>
      </c>
      <c r="D15" s="344"/>
      <c r="E15" s="89" t="s">
        <v>446</v>
      </c>
      <c r="F15" s="266" t="s">
        <v>72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502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679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>
        <v>104000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256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143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Düsseldorf-Flughafen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>
        <f>E25</f>
        <v>104000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525</v>
      </c>
      <c r="D65" s="186" t="s">
        <v>256</v>
      </c>
      <c r="E65" s="287">
        <f>1-SUMPRODUCT(F63:N63,F65:N65)</f>
        <v>1</v>
      </c>
      <c r="F65" s="287">
        <f>ROUND(F66/$D$66,4)</f>
        <v>0.5</v>
      </c>
      <c r="G65" s="287">
        <f t="shared" ref="G65:N65" si="12">ROUND(G66/$D$66,4)</f>
        <v>0.25</v>
      </c>
      <c r="H65" s="287">
        <f t="shared" si="12"/>
        <v>0.125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532</v>
      </c>
      <c r="D66" s="186">
        <f>SUMPRODUCT(E66:N66,E63:N63)</f>
        <v>1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146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143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143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143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143</v>
      </c>
    </row>
    <row r="71" spans="2:15"/>
    <row r="72" spans="2:15" ht="15.75" customHeight="1">
      <c r="C72" s="345" t="s">
        <v>579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:N25">
    <cfRule type="expression" dxfId="69" priority="28">
      <formula>IF(E$20&lt;=$F$18,1,0)</formula>
    </cfRule>
  </conditionalFormatting>
  <conditionalFormatting sqref="E32:N36">
    <cfRule type="expression" dxfId="68" priority="27">
      <formula>IF(E$30&lt;=$F$28,1,0)</formula>
    </cfRule>
  </conditionalFormatting>
  <conditionalFormatting sqref="E26:F26">
    <cfRule type="expression" dxfId="67" priority="26">
      <formula>IF(E$20&lt;=$F$18,1,0)</formula>
    </cfRule>
  </conditionalFormatting>
  <conditionalFormatting sqref="E26:N26">
    <cfRule type="expression" dxfId="66" priority="25">
      <formula>IF(E$20&lt;=$F$18,1,0)</formula>
    </cfRule>
  </conditionalFormatting>
  <conditionalFormatting sqref="E56:N59">
    <cfRule type="expression" dxfId="65" priority="22">
      <formula>IF(E$54&lt;=$F$52,1,0)</formula>
    </cfRule>
  </conditionalFormatting>
  <conditionalFormatting sqref="E60:N60">
    <cfRule type="expression" dxfId="64" priority="21">
      <formula>IF(E$54&lt;=$F$52,1,0)</formula>
    </cfRule>
  </conditionalFormatting>
  <conditionalFormatting sqref="E66:N68">
    <cfRule type="expression" dxfId="63" priority="15">
      <formula>IF(E$64&lt;=$F$62,1,0)</formula>
    </cfRule>
  </conditionalFormatting>
  <conditionalFormatting sqref="E65:N68 E70:N70">
    <cfRule type="expression" dxfId="62" priority="13">
      <formula>IF(E$64&gt;$F$62,1,0)</formula>
    </cfRule>
  </conditionalFormatting>
  <conditionalFormatting sqref="E56:N60">
    <cfRule type="expression" dxfId="61" priority="12">
      <formula>IF(E$54&gt;$F$52,1,0)</formula>
    </cfRule>
  </conditionalFormatting>
  <conditionalFormatting sqref="E21:N26">
    <cfRule type="expression" dxfId="60" priority="11">
      <formula>IF(E$20&gt;$F$18,1,0)</formula>
    </cfRule>
  </conditionalFormatting>
  <conditionalFormatting sqref="E32:N36">
    <cfRule type="expression" dxfId="59" priority="10">
      <formula>IF(E$30&gt;$F$28,1,0)</formula>
    </cfRule>
  </conditionalFormatting>
  <conditionalFormatting sqref="H11 H8:H9">
    <cfRule type="expression" dxfId="58" priority="9">
      <formula>IF($F$9=1,1,0)</formula>
    </cfRule>
  </conditionalFormatting>
  <conditionalFormatting sqref="E55:N55">
    <cfRule type="expression" dxfId="57" priority="8">
      <formula>IF(E$54&gt;$F$52,1,0)</formula>
    </cfRule>
  </conditionalFormatting>
  <conditionalFormatting sqref="E31:N31">
    <cfRule type="expression" dxfId="56" priority="7">
      <formula>IF(E$30&gt;$F$28,1,0)</formula>
    </cfRule>
  </conditionalFormatting>
  <conditionalFormatting sqref="E70:N70">
    <cfRule type="expression" dxfId="55" priority="6">
      <formula>IF(E$64&lt;=$F$62,1,0)</formula>
    </cfRule>
  </conditionalFormatting>
  <conditionalFormatting sqref="H10">
    <cfRule type="expression" dxfId="54" priority="5">
      <formula>IF($F$9=1,1,0)</formula>
    </cfRule>
  </conditionalFormatting>
  <conditionalFormatting sqref="E69:N69">
    <cfRule type="expression" dxfId="53" priority="2">
      <formula>IF(E$64&lt;=$F$62,1,0)</formula>
    </cfRule>
  </conditionalFormatting>
  <conditionalFormatting sqref="E69:N69">
    <cfRule type="expression" dxfId="5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RSN 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2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#02'!F10)</f>
        <v>Köln/Bonn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3" t="s">
        <v>583</v>
      </c>
      <c r="D13" s="343"/>
      <c r="E13" s="34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4" t="s">
        <v>445</v>
      </c>
      <c r="D14" s="344"/>
      <c r="E14" s="89" t="s">
        <v>446</v>
      </c>
      <c r="F14" s="266" t="s">
        <v>86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44" t="s">
        <v>385</v>
      </c>
      <c r="D15" s="344"/>
      <c r="E15" s="89" t="s">
        <v>446</v>
      </c>
      <c r="F15" s="266" t="s">
        <v>72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143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525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45" t="s">
        <v>579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18">
      <formula>IF(E$20&lt;=$F$18,1,0)</formula>
    </cfRule>
  </conditionalFormatting>
  <conditionalFormatting sqref="E32:N36">
    <cfRule type="expression" dxfId="50" priority="17">
      <formula>IF(E$30&lt;=$F$28,1,0)</formula>
    </cfRule>
  </conditionalFormatting>
  <conditionalFormatting sqref="E26:F26">
    <cfRule type="expression" dxfId="49" priority="16">
      <formula>IF(E$20&lt;=$F$18,1,0)</formula>
    </cfRule>
  </conditionalFormatting>
  <conditionalFormatting sqref="E26:N26">
    <cfRule type="expression" dxfId="48" priority="15">
      <formula>IF(E$20&lt;=$F$18,1,0)</formula>
    </cfRule>
  </conditionalFormatting>
  <conditionalFormatting sqref="E56:N59">
    <cfRule type="expression" dxfId="47" priority="14">
      <formula>IF(E$54&lt;=$F$52,1,0)</formula>
    </cfRule>
  </conditionalFormatting>
  <conditionalFormatting sqref="E60:N60">
    <cfRule type="expression" dxfId="46" priority="13">
      <formula>IF(E$54&lt;=$F$52,1,0)</formula>
    </cfRule>
  </conditionalFormatting>
  <conditionalFormatting sqref="E66:N68">
    <cfRule type="expression" dxfId="45" priority="12">
      <formula>IF(E$64&lt;=$F$62,1,0)</formula>
    </cfRule>
  </conditionalFormatting>
  <conditionalFormatting sqref="E65:N68 E70:N70">
    <cfRule type="expression" dxfId="44" priority="11">
      <formula>IF(E$64&gt;$F$62,1,0)</formula>
    </cfRule>
  </conditionalFormatting>
  <conditionalFormatting sqref="E56:N60">
    <cfRule type="expression" dxfId="43" priority="10">
      <formula>IF(E$54&gt;$F$52,1,0)</formula>
    </cfRule>
  </conditionalFormatting>
  <conditionalFormatting sqref="E21:N26">
    <cfRule type="expression" dxfId="42" priority="9">
      <formula>IF(E$20&gt;$F$18,1,0)</formula>
    </cfRule>
  </conditionalFormatting>
  <conditionalFormatting sqref="E32:N36">
    <cfRule type="expression" dxfId="41" priority="8">
      <formula>IF(E$30&gt;$F$28,1,0)</formula>
    </cfRule>
  </conditionalFormatting>
  <conditionalFormatting sqref="H11 H8:H9">
    <cfRule type="expression" dxfId="40" priority="7">
      <formula>IF($F$9=1,1,0)</formula>
    </cfRule>
  </conditionalFormatting>
  <conditionalFormatting sqref="E55:N55">
    <cfRule type="expression" dxfId="39" priority="6">
      <formula>IF(E$54&gt;$F$52,1,0)</formula>
    </cfRule>
  </conditionalFormatting>
  <conditionalFormatting sqref="E31:N31">
    <cfRule type="expression" dxfId="38" priority="5">
      <formula>IF(E$30&gt;$F$28,1,0)</formula>
    </cfRule>
  </conditionalFormatting>
  <conditionalFormatting sqref="E70:N70">
    <cfRule type="expression" dxfId="37" priority="4">
      <formula>IF(E$64&lt;=$F$62,1,0)</formula>
    </cfRule>
  </conditionalFormatting>
  <conditionalFormatting sqref="H10">
    <cfRule type="expression" dxfId="36" priority="3">
      <formula>IF($F$9=1,1,0)</formula>
    </cfRule>
  </conditionalFormatting>
  <conditionalFormatting sqref="E69:N69">
    <cfRule type="expression" dxfId="35" priority="2">
      <formula>IF(E$64&lt;=$F$62,1,0)</formula>
    </cfRule>
  </conditionalFormatting>
  <conditionalFormatting sqref="E69:N69">
    <cfRule type="expression" dxfId="3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topLeftCell="A10" zoomScale="70" zoomScaleNormal="70" workbookViewId="0">
      <selection activeCell="E8" sqref="E8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1" t="s">
        <v>543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tr">
        <f>Netzbetreiber!D9</f>
        <v>Rhein-Sieg Netz GmbH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tr">
        <f>Netzbetreiber!D28</f>
        <v>RSN THE H-Gas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46">
        <f>Netzbetreiber!D11</f>
        <v>9870119700002</v>
      </c>
      <c r="F6" s="347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/>
      <c r="J8" s="130"/>
      <c r="K8" s="130"/>
      <c r="L8" s="130"/>
      <c r="M8" s="130"/>
      <c r="N8" s="130"/>
      <c r="O8" s="130"/>
    </row>
    <row r="9" spans="2:56">
      <c r="B9" s="130"/>
      <c r="C9" s="59" t="s">
        <v>521</v>
      </c>
      <c r="D9" s="130"/>
      <c r="E9" s="130"/>
      <c r="F9" s="154">
        <f>'SLP-Verfahren'!D43</f>
        <v>2</v>
      </c>
      <c r="H9" s="172"/>
      <c r="J9" s="130"/>
      <c r="K9" s="130"/>
      <c r="L9" s="130"/>
      <c r="M9" s="130"/>
      <c r="N9" s="130"/>
      <c r="O9" s="130"/>
    </row>
    <row r="10" spans="2:56">
      <c r="B10" s="130"/>
      <c r="C10" s="55" t="s">
        <v>584</v>
      </c>
      <c r="D10" s="130"/>
      <c r="E10" s="130"/>
      <c r="F10" s="299">
        <v>2</v>
      </c>
      <c r="G10" s="56"/>
      <c r="H10" s="172"/>
      <c r="J10" s="130"/>
      <c r="K10" s="130"/>
      <c r="L10" s="130"/>
      <c r="M10" s="130"/>
      <c r="N10" s="130"/>
      <c r="O10" s="130"/>
    </row>
    <row r="11" spans="2:56">
      <c r="B11" s="130"/>
      <c r="C11" s="55" t="s">
        <v>602</v>
      </c>
      <c r="D11" s="130"/>
      <c r="E11" s="130"/>
      <c r="F11" s="296" t="str">
        <f>INDEX('SLP-Verfahren'!D45:D59,'SLP-Temp-Gebiet KölnBonn'!F10)</f>
        <v>Köln/Bonn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583</v>
      </c>
      <c r="D13" s="343"/>
      <c r="E13" s="34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445</v>
      </c>
      <c r="D14" s="344"/>
      <c r="E14" s="89" t="s">
        <v>446</v>
      </c>
      <c r="F14" s="266" t="s">
        <v>86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2:56" ht="19.5" customHeight="1">
      <c r="B15" s="130"/>
      <c r="C15" s="344" t="s">
        <v>385</v>
      </c>
      <c r="D15" s="344"/>
      <c r="E15" s="89" t="s">
        <v>446</v>
      </c>
      <c r="F15" s="266" t="s">
        <v>72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342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502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681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>
        <v>105130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256</v>
      </c>
      <c r="E31" s="287">
        <f>1-SUMPRODUCT(F29:N29,F31:N31)</f>
        <v>1</v>
      </c>
      <c r="F31" s="287">
        <f>ROUND(F32/$D$32,4)</f>
        <v>0.5</v>
      </c>
      <c r="G31" s="287">
        <f t="shared" ref="G31:N31" si="3">ROUND(G32/$D$32,4)</f>
        <v>0.25</v>
      </c>
      <c r="H31" s="287">
        <f t="shared" si="3"/>
        <v>0.125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143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1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Köln/Bonn-Flughafen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>
        <f>E25</f>
        <v>105130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7">IF(F64&gt;$F$62,0,1)</f>
        <v>0</v>
      </c>
      <c r="G63" s="178">
        <f t="shared" si="7"/>
        <v>0</v>
      </c>
      <c r="H63" s="178">
        <f t="shared" si="7"/>
        <v>0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525</v>
      </c>
      <c r="D65" s="186" t="s">
        <v>256</v>
      </c>
      <c r="E65" s="287">
        <f>1-SUMPRODUCT(F63:N63,F65:N65)</f>
        <v>1</v>
      </c>
      <c r="F65" s="287">
        <f>ROUND(F66/$D$66,4)</f>
        <v>0.5</v>
      </c>
      <c r="G65" s="287">
        <f t="shared" ref="G65:N65" si="8">ROUND(G66/$D$66,4)</f>
        <v>0.25</v>
      </c>
      <c r="H65" s="287">
        <f t="shared" si="8"/>
        <v>0.125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45" t="s">
        <v>579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E6:F6"/>
    <mergeCell ref="C13:E13"/>
    <mergeCell ref="C14:D14"/>
    <mergeCell ref="C15:D15"/>
    <mergeCell ref="C72:F72"/>
  </mergeCells>
  <conditionalFormatting sqref="F22:N25">
    <cfRule type="expression" dxfId="33" priority="20">
      <formula>IF(F$20&lt;=$F$18,1,0)</formula>
    </cfRule>
  </conditionalFormatting>
  <conditionalFormatting sqref="E32:N36">
    <cfRule type="expression" dxfId="32" priority="19">
      <formula>IF(E$30&lt;=$F$28,1,0)</formula>
    </cfRule>
  </conditionalFormatting>
  <conditionalFormatting sqref="E26:F26">
    <cfRule type="expression" dxfId="31" priority="18">
      <formula>IF(E$20&lt;=$F$18,1,0)</formula>
    </cfRule>
  </conditionalFormatting>
  <conditionalFormatting sqref="E26:N26">
    <cfRule type="expression" dxfId="30" priority="17">
      <formula>IF(E$20&lt;=$F$18,1,0)</formula>
    </cfRule>
  </conditionalFormatting>
  <conditionalFormatting sqref="E56:N59">
    <cfRule type="expression" dxfId="29" priority="16">
      <formula>IF(E$54&lt;=$F$52,1,0)</formula>
    </cfRule>
  </conditionalFormatting>
  <conditionalFormatting sqref="E60:N60">
    <cfRule type="expression" dxfId="28" priority="15">
      <formula>IF(E$54&lt;=$F$52,1,0)</formula>
    </cfRule>
  </conditionalFormatting>
  <conditionalFormatting sqref="E66:N68">
    <cfRule type="expression" dxfId="27" priority="14">
      <formula>IF(E$64&lt;=$F$62,1,0)</formula>
    </cfRule>
  </conditionalFormatting>
  <conditionalFormatting sqref="E65:N68 E70:N70">
    <cfRule type="expression" dxfId="26" priority="13">
      <formula>IF(E$64&gt;$F$62,1,0)</formula>
    </cfRule>
  </conditionalFormatting>
  <conditionalFormatting sqref="E56:N60">
    <cfRule type="expression" dxfId="25" priority="12">
      <formula>IF(E$54&gt;$F$52,1,0)</formula>
    </cfRule>
  </conditionalFormatting>
  <conditionalFormatting sqref="E21:N21 E26:N26 F22:N25">
    <cfRule type="expression" dxfId="24" priority="11">
      <formula>IF(E$20&gt;$F$18,1,0)</formula>
    </cfRule>
  </conditionalFormatting>
  <conditionalFormatting sqref="E32:N36">
    <cfRule type="expression" dxfId="23" priority="10">
      <formula>IF(E$30&gt;$F$28,1,0)</formula>
    </cfRule>
  </conditionalFormatting>
  <conditionalFormatting sqref="H11 H8:H9">
    <cfRule type="expression" dxfId="22" priority="9">
      <formula>IF($F$9=1,1,0)</formula>
    </cfRule>
  </conditionalFormatting>
  <conditionalFormatting sqref="E55:N55">
    <cfRule type="expression" dxfId="21" priority="8">
      <formula>IF(E$54&gt;$F$52,1,0)</formula>
    </cfRule>
  </conditionalFormatting>
  <conditionalFormatting sqref="E31:N31">
    <cfRule type="expression" dxfId="20" priority="7">
      <formula>IF(E$30&gt;$F$28,1,0)</formula>
    </cfRule>
  </conditionalFormatting>
  <conditionalFormatting sqref="E70:N70">
    <cfRule type="expression" dxfId="19" priority="6">
      <formula>IF(E$64&lt;=$F$62,1,0)</formula>
    </cfRule>
  </conditionalFormatting>
  <conditionalFormatting sqref="H10">
    <cfRule type="expression" dxfId="18" priority="5">
      <formula>IF($F$9=1,1,0)</formula>
    </cfRule>
  </conditionalFormatting>
  <conditionalFormatting sqref="E69:N69">
    <cfRule type="expression" dxfId="17" priority="4">
      <formula>IF(E$64&lt;=$F$62,1,0)</formula>
    </cfRule>
  </conditionalFormatting>
  <conditionalFormatting sqref="E69:N69">
    <cfRule type="expression" dxfId="16" priority="3">
      <formula>IF(E$64&gt;$F$62,1,0)</formula>
    </cfRule>
  </conditionalFormatting>
  <conditionalFormatting sqref="E22:E25">
    <cfRule type="expression" dxfId="15" priority="2">
      <formula>IF(E$20&lt;=$F$18,1,0)</formula>
    </cfRule>
  </conditionalFormatting>
  <conditionalFormatting sqref="E22:E25">
    <cfRule type="expression" dxfId="14" priority="1">
      <formula>IF(E$20&gt;$F$18,1,0)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/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Rhein-Sieg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RSN THE H-Gas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48">
        <f>Netzbetreiber!$D$11</f>
        <v>9870119700002</v>
      </c>
      <c r="E7" s="349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28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492</v>
      </c>
      <c r="D10" s="134" t="s">
        <v>148</v>
      </c>
      <c r="E10" s="277" t="s">
        <v>510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494</v>
      </c>
      <c r="C11" s="140" t="s">
        <v>509</v>
      </c>
      <c r="D11" s="304" t="s">
        <v>249</v>
      </c>
      <c r="E11" s="164" t="s">
        <v>4</v>
      </c>
      <c r="F11" s="30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RSN THE H-Gas</v>
      </c>
      <c r="D12" s="62" t="s">
        <v>249</v>
      </c>
      <c r="E12" s="165" t="s">
        <v>22</v>
      </c>
      <c r="F12" s="307" t="str">
        <f>VLOOKUP($E12,'BDEW-Standard'!$B$3:$M$158,F$9,0)</f>
        <v>N13</v>
      </c>
      <c r="H12" s="278">
        <f>ROUND(VLOOKUP($E12,'BDEW-Standard'!$B$3:$M$158,H$9,0),7)</f>
        <v>3.0553842000000002</v>
      </c>
      <c r="I12" s="278">
        <f>ROUND(VLOOKUP($E12,'BDEW-Standard'!$B$3:$M$158,I$9,0),7)</f>
        <v>-37.183637400000002</v>
      </c>
      <c r="J12" s="278">
        <f>ROUND(VLOOKUP($E12,'BDEW-Standard'!$B$3:$M$158,J$9,0),7)</f>
        <v>5.6810824999999996</v>
      </c>
      <c r="K12" s="278">
        <f>ROUND(VLOOKUP($E12,'BDEW-Standard'!$B$3:$M$158,K$9,0),7)</f>
        <v>8.2196599999999995E-2</v>
      </c>
      <c r="L12" s="279">
        <f>ROUND(VLOOKUP($E12,'BDEW-Standard'!$B$3:$M$158,L$9,0),1)</f>
        <v>40</v>
      </c>
      <c r="M12" s="278">
        <f>ROUND(VLOOKUP($E12,'BDEW-Standard'!$B$3:$M$158,M$9,0),7)</f>
        <v>0</v>
      </c>
      <c r="N12" s="278">
        <f>ROUND(VLOOKUP($E12,'BDEW-Standard'!$B$3:$M$158,N$9,0),7)</f>
        <v>0</v>
      </c>
      <c r="O12" s="278">
        <f>ROUND(VLOOKUP($E12,'BDEW-Standard'!$B$3:$M$158,O$9,0),7)</f>
        <v>0</v>
      </c>
      <c r="P12" s="278">
        <f>ROUND(VLOOKUP($E12,'BDEW-Standard'!$B$3:$M$158,P$9,0),7)</f>
        <v>0</v>
      </c>
      <c r="Q12" s="280">
        <f t="shared" ref="Q12:Q39" si="1">($H12/(1+($I12/($Q$9-$L12))^$J12)+$K12)+MAX($M12*$Q$9+$N12,$O12*$Q$9+$P12)</f>
        <v>0.99521022916399493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RSN THE H-Gas</v>
      </c>
      <c r="D13" s="62" t="s">
        <v>249</v>
      </c>
      <c r="E13" s="165" t="s">
        <v>26</v>
      </c>
      <c r="F13" s="307" t="str">
        <f>VLOOKUP($E13,'BDEW-Standard'!$B$3:$M$158,F$9,0)</f>
        <v>N14</v>
      </c>
      <c r="H13" s="278">
        <f>ROUND(VLOOKUP($E13,'BDEW-Standard'!$B$3:$M$158,H$9,0),7)</f>
        <v>3.1935978</v>
      </c>
      <c r="I13" s="278">
        <f>ROUND(VLOOKUP($E13,'BDEW-Standard'!$B$3:$M$158,I$9,0),7)</f>
        <v>-37.414247799999998</v>
      </c>
      <c r="J13" s="278">
        <f>ROUND(VLOOKUP($E13,'BDEW-Standard'!$B$3:$M$158,J$9,0),7)</f>
        <v>6.1824021</v>
      </c>
      <c r="K13" s="278">
        <f>ROUND(VLOOKUP($E13,'BDEW-Standard'!$B$3:$M$158,K$9,0),7)</f>
        <v>6.4760499999999999E-2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 t="shared" si="1"/>
        <v>0.94490761186795624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RSN THE H-Gas</v>
      </c>
      <c r="D14" s="62" t="s">
        <v>249</v>
      </c>
      <c r="E14" s="165" t="s">
        <v>30</v>
      </c>
      <c r="F14" s="307" t="str">
        <f>VLOOKUP($E14,'BDEW-Standard'!$B$3:$M$158,F$9,0)</f>
        <v>N23</v>
      </c>
      <c r="H14" s="278">
        <f>ROUND(VLOOKUP($E14,'BDEW-Standard'!$B$3:$M$158,H$9,0),7)</f>
        <v>2.3987552000000001</v>
      </c>
      <c r="I14" s="278">
        <f>ROUND(VLOOKUP($E14,'BDEW-Standard'!$B$3:$M$158,I$9,0),7)</f>
        <v>-34.723487800000001</v>
      </c>
      <c r="J14" s="278">
        <f>ROUND(VLOOKUP($E14,'BDEW-Standard'!$B$3:$M$158,J$9,0),7)</f>
        <v>5.7996445999999997</v>
      </c>
      <c r="K14" s="278">
        <f>ROUND(VLOOKUP($E14,'BDEW-Standard'!$B$3:$M$158,K$9,0),7)</f>
        <v>0.1016748</v>
      </c>
      <c r="L14" s="279">
        <f>ROUND(VLOOKUP($E14,'BDEW-Standard'!$B$3:$M$158,L$9,0),1)</f>
        <v>40</v>
      </c>
      <c r="M14" s="278">
        <f>ROUND(VLOOKUP($E14,'BDEW-Standard'!$B$3:$M$158,M$9,0),7)</f>
        <v>0</v>
      </c>
      <c r="N14" s="278">
        <f>ROUND(VLOOKUP($E14,'BDEW-Standard'!$B$3:$M$158,N$9,0),7)</f>
        <v>0</v>
      </c>
      <c r="O14" s="278">
        <f>ROUND(VLOOKUP($E14,'BDEW-Standard'!$B$3:$M$158,O$9,0),7)</f>
        <v>0</v>
      </c>
      <c r="P14" s="278">
        <f>ROUND(VLOOKUP($E14,'BDEW-Standard'!$B$3:$M$158,P$9,0),7)</f>
        <v>0</v>
      </c>
      <c r="Q14" s="280">
        <f t="shared" si="1"/>
        <v>1.0221652961614969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RSN THE H-Gas</v>
      </c>
      <c r="D15" s="62" t="s">
        <v>249</v>
      </c>
      <c r="E15" s="165" t="s">
        <v>34</v>
      </c>
      <c r="F15" s="307" t="str">
        <f>VLOOKUP($E15,'BDEW-Standard'!$B$3:$M$158,F$9,0)</f>
        <v>N24</v>
      </c>
      <c r="H15" s="278">
        <f>ROUND(VLOOKUP($E15,'BDEW-Standard'!$B$3:$M$158,H$9,0),7)</f>
        <v>2.529738</v>
      </c>
      <c r="I15" s="278">
        <f>ROUND(VLOOKUP($E15,'BDEW-Standard'!$B$3:$M$158,I$9,0),7)</f>
        <v>-35.0300145</v>
      </c>
      <c r="J15" s="278">
        <f>ROUND(VLOOKUP($E15,'BDEW-Standard'!$B$3:$M$158,J$9,0),7)</f>
        <v>6.2051109000000002</v>
      </c>
      <c r="K15" s="278">
        <f>ROUND(VLOOKUP($E15,'BDEW-Standard'!$B$3:$M$158,K$9,0),7)</f>
        <v>8.4524100000000005E-2</v>
      </c>
      <c r="L15" s="279">
        <f>ROUND(VLOOKUP($E15,'BDEW-Standard'!$B$3:$M$158,L$9,0),1)</f>
        <v>40</v>
      </c>
      <c r="M15" s="278">
        <f>ROUND(VLOOKUP($E15,'BDEW-Standard'!$B$3:$M$158,M$9,0),7)</f>
        <v>0</v>
      </c>
      <c r="N15" s="278">
        <f>ROUND(VLOOKUP($E15,'BDEW-Standard'!$B$3:$M$158,N$9,0),7)</f>
        <v>0</v>
      </c>
      <c r="O15" s="278">
        <f>ROUND(VLOOKUP($E15,'BDEW-Standard'!$B$3:$M$158,O$9,0),7)</f>
        <v>0</v>
      </c>
      <c r="P15" s="278">
        <f>ROUND(VLOOKUP($E15,'BDEW-Standard'!$B$3:$M$158,P$9,0),7)</f>
        <v>0</v>
      </c>
      <c r="Q15" s="280">
        <f t="shared" si="1"/>
        <v>1.0034007991768874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RSN THE H-Gas</v>
      </c>
      <c r="D16" s="62" t="s">
        <v>249</v>
      </c>
      <c r="E16" s="165" t="s">
        <v>5</v>
      </c>
      <c r="F16" s="307" t="str">
        <f>VLOOKUP($E16,'BDEW-Standard'!$B$3:$M$94,F$9,0)</f>
        <v>HK3</v>
      </c>
      <c r="H16" s="278">
        <f>ROUND(VLOOKUP($E16,'BDEW-Standard'!$B$3:$M$94,H$9,0),7)</f>
        <v>0.40409319999999999</v>
      </c>
      <c r="I16" s="278">
        <f>ROUND(VLOOKUP($E16,'BDEW-Standard'!$B$3:$M$94,I$9,0),7)</f>
        <v>-24.439296800000001</v>
      </c>
      <c r="J16" s="278">
        <f>ROUND(VLOOKUP($E16,'BDEW-Standard'!$B$3:$M$94,J$9,0),7)</f>
        <v>6.5718174999999999</v>
      </c>
      <c r="K16" s="278">
        <f>ROUND(VLOOKUP($E16,'BDEW-Standard'!$B$3:$M$94,K$9,0),7)</f>
        <v>0.71077100000000004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1.0561214000512988</v>
      </c>
      <c r="R16" s="281">
        <f>ROUND(VLOOKUP(MID($E16,4,3),'Wochentag F(WT)'!$B$7:$J$22,R$9,0),4)</f>
        <v>1</v>
      </c>
      <c r="S16" s="281">
        <f>ROUND(VLOOKUP(MID($E16,4,3),'Wochentag F(WT)'!$B$7:$J$22,S$9,0),4)</f>
        <v>1</v>
      </c>
      <c r="T16" s="281">
        <f>ROUND(VLOOKUP(MID($E16,4,3),'Wochentag F(WT)'!$B$7:$J$22,T$9,0),4)</f>
        <v>1</v>
      </c>
      <c r="U16" s="281">
        <f>ROUND(VLOOKUP(MID($E16,4,3),'Wochentag F(WT)'!$B$7:$J$22,U$9,0),4)</f>
        <v>1</v>
      </c>
      <c r="V16" s="281">
        <f>ROUND(VLOOKUP(MID($E16,4,3),'Wochentag F(WT)'!$B$7:$J$22,V$9,0),4)</f>
        <v>1</v>
      </c>
      <c r="W16" s="281">
        <f>ROUND(VLOOKUP(MID($E16,4,3),'Wochentag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RSN THE H-Gas</v>
      </c>
      <c r="D17" s="62" t="s">
        <v>249</v>
      </c>
      <c r="E17" s="165" t="s">
        <v>649</v>
      </c>
      <c r="F17" s="307" t="str">
        <f>VLOOKUP($E17,'BDEW-Standard'!$B$3:$M$94,F$9,0)</f>
        <v>MK3</v>
      </c>
      <c r="H17" s="278">
        <f>ROUND(VLOOKUP($E17,'BDEW-Standard'!$B$3:$M$94,H$9,0),7)</f>
        <v>2.7882424000000001</v>
      </c>
      <c r="I17" s="278">
        <f>ROUND(VLOOKUP($E17,'BDEW-Standard'!$B$3:$M$94,I$9,0),7)</f>
        <v>-34.880612999999997</v>
      </c>
      <c r="J17" s="278">
        <f>ROUND(VLOOKUP($E17,'BDEW-Standard'!$B$3:$M$94,J$9,0),7)</f>
        <v>6.5951899000000003</v>
      </c>
      <c r="K17" s="278">
        <f>ROUND(VLOOKUP($E17,'BDEW-Standard'!$B$3:$M$94,K$9,0),7)</f>
        <v>5.4032900000000002E-2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1.0622306107520199</v>
      </c>
      <c r="R17" s="281">
        <f>ROUND(VLOOKUP(MID($E17,4,3),'Wochentag F(WT)'!$B$7:$J$22,R$9,0),4)</f>
        <v>1.0699000000000001</v>
      </c>
      <c r="S17" s="281">
        <f>ROUND(VLOOKUP(MID($E17,4,3),'Wochentag F(WT)'!$B$7:$J$22,S$9,0),4)</f>
        <v>1.0365</v>
      </c>
      <c r="T17" s="281">
        <f>ROUND(VLOOKUP(MID($E17,4,3),'Wochentag F(WT)'!$B$7:$J$22,T$9,0),4)</f>
        <v>0.99329999999999996</v>
      </c>
      <c r="U17" s="281">
        <f>ROUND(VLOOKUP(MID($E17,4,3),'Wochentag F(WT)'!$B$7:$J$22,U$9,0),4)</f>
        <v>0.99480000000000002</v>
      </c>
      <c r="V17" s="281">
        <f>ROUND(VLOOKUP(MID($E17,4,3),'Wochentag F(WT)'!$B$7:$J$22,V$9,0),4)</f>
        <v>1.0659000000000001</v>
      </c>
      <c r="W17" s="281">
        <f>ROUND(VLOOKUP(MID($E17,4,3),'Wochentag F(WT)'!$B$7:$J$22,W$9,0),4)</f>
        <v>0.93620000000000003</v>
      </c>
      <c r="X17" s="282">
        <f t="shared" si="2"/>
        <v>0.90339999999999954</v>
      </c>
      <c r="Y17" s="303"/>
      <c r="Z17" s="212"/>
    </row>
    <row r="18" spans="2:26" s="143" customFormat="1">
      <c r="B18" s="144">
        <v>7</v>
      </c>
      <c r="C18" s="145" t="str">
        <f t="shared" si="0"/>
        <v>RSN THE H-Gas</v>
      </c>
      <c r="D18" s="62" t="s">
        <v>249</v>
      </c>
      <c r="E18" s="165" t="s">
        <v>650</v>
      </c>
      <c r="F18" s="307" t="str">
        <f>VLOOKUP($E18,'BDEW-Standard'!$B$3:$M$94,F$9,0)</f>
        <v>MK4</v>
      </c>
      <c r="H18" s="278">
        <f>ROUND(VLOOKUP($E18,'BDEW-Standard'!$B$3:$M$94,H$9,0),7)</f>
        <v>3.1177248</v>
      </c>
      <c r="I18" s="278">
        <f>ROUND(VLOOKUP($E18,'BDEW-Standard'!$B$3:$M$94,I$9,0),7)</f>
        <v>-35.871506199999999</v>
      </c>
      <c r="J18" s="278">
        <f>ROUND(VLOOKUP($E18,'BDEW-Standard'!$B$3:$M$94,J$9,0),7)</f>
        <v>7.5186828999999999</v>
      </c>
      <c r="K18" s="278">
        <f>ROUND(VLOOKUP($E18,'BDEW-Standard'!$B$3:$M$94,K$9,0),7)</f>
        <v>3.4330100000000002E-2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0.9622064996731321</v>
      </c>
      <c r="R18" s="281">
        <f>ROUND(VLOOKUP(MID($E18,4,3),'Wochentag F(WT)'!$B$7:$J$22,R$9,0),4)</f>
        <v>1.0699000000000001</v>
      </c>
      <c r="S18" s="281">
        <f>ROUND(VLOOKUP(MID($E18,4,3),'Wochentag F(WT)'!$B$7:$J$22,S$9,0),4)</f>
        <v>1.0365</v>
      </c>
      <c r="T18" s="281">
        <f>ROUND(VLOOKUP(MID($E18,4,3),'Wochentag F(WT)'!$B$7:$J$22,T$9,0),4)</f>
        <v>0.99329999999999996</v>
      </c>
      <c r="U18" s="281">
        <f>ROUND(VLOOKUP(MID($E18,4,3),'Wochentag F(WT)'!$B$7:$J$22,U$9,0),4)</f>
        <v>0.99480000000000002</v>
      </c>
      <c r="V18" s="281">
        <f>ROUND(VLOOKUP(MID($E18,4,3),'Wochentag F(WT)'!$B$7:$J$22,V$9,0),4)</f>
        <v>1.0659000000000001</v>
      </c>
      <c r="W18" s="281">
        <f>ROUND(VLOOKUP(MID($E18,4,3),'Wochentag F(WT)'!$B$7:$J$22,W$9,0),4)</f>
        <v>0.93620000000000003</v>
      </c>
      <c r="X18" s="282">
        <f t="shared" si="2"/>
        <v>0.90339999999999954</v>
      </c>
      <c r="Y18" s="303"/>
      <c r="Z18" s="212"/>
    </row>
    <row r="19" spans="2:26" s="143" customFormat="1">
      <c r="B19" s="144">
        <v>8</v>
      </c>
      <c r="C19" s="145" t="str">
        <f t="shared" si="0"/>
        <v>RSN THE H-Gas</v>
      </c>
      <c r="D19" s="62" t="s">
        <v>249</v>
      </c>
      <c r="E19" s="165" t="s">
        <v>651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RSN THE H-Gas</v>
      </c>
      <c r="D20" s="62" t="s">
        <v>249</v>
      </c>
      <c r="E20" s="165" t="s">
        <v>652</v>
      </c>
      <c r="F20" s="307" t="str">
        <f>VLOOKUP($E20,'BDEW-Standard'!$B$3:$M$94,F$9,0)</f>
        <v>HA4</v>
      </c>
      <c r="H20" s="278">
        <f>ROUND(VLOOKUP($E20,'BDEW-Standard'!$B$3:$M$94,H$9,0),7)</f>
        <v>4.0196902000000003</v>
      </c>
      <c r="I20" s="278">
        <f>ROUND(VLOOKUP($E20,'BDEW-Standard'!$B$3:$M$94,I$9,0),7)</f>
        <v>-37.828203700000003</v>
      </c>
      <c r="J20" s="278">
        <f>ROUND(VLOOKUP($E20,'BDEW-Standard'!$B$3:$M$94,J$9,0),7)</f>
        <v>8.1593368999999996</v>
      </c>
      <c r="K20" s="278">
        <f>ROUND(VLOOKUP($E20,'BDEW-Standard'!$B$3:$M$94,K$9,0),7)</f>
        <v>4.72845E-2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0.86486713303260787</v>
      </c>
      <c r="R20" s="281">
        <f>ROUND(VLOOKUP(MID($E20,4,3),'Wochentag F(WT)'!$B$7:$J$22,R$9,0),4)</f>
        <v>1.0358000000000001</v>
      </c>
      <c r="S20" s="281">
        <f>ROUND(VLOOKUP(MID($E20,4,3),'Wochentag F(WT)'!$B$7:$J$22,S$9,0),4)</f>
        <v>1.0232000000000001</v>
      </c>
      <c r="T20" s="281">
        <f>ROUND(VLOOKUP(MID($E20,4,3),'Wochentag F(WT)'!$B$7:$J$22,T$9,0),4)</f>
        <v>1.0251999999999999</v>
      </c>
      <c r="U20" s="281">
        <f>ROUND(VLOOKUP(MID($E20,4,3),'Wochentag F(WT)'!$B$7:$J$22,U$9,0),4)</f>
        <v>1.0295000000000001</v>
      </c>
      <c r="V20" s="281">
        <f>ROUND(VLOOKUP(MID($E20,4,3),'Wochentag F(WT)'!$B$7:$J$22,V$9,0),4)</f>
        <v>1.0253000000000001</v>
      </c>
      <c r="W20" s="281">
        <f>ROUND(VLOOKUP(MID($E20,4,3),'Wochentag F(WT)'!$B$7:$J$22,W$9,0),4)</f>
        <v>0.96750000000000003</v>
      </c>
      <c r="X20" s="282">
        <f t="shared" si="2"/>
        <v>0.89350000000000041</v>
      </c>
      <c r="Y20" s="303"/>
      <c r="Z20" s="212"/>
    </row>
    <row r="21" spans="2:26" s="143" customFormat="1">
      <c r="B21" s="144">
        <v>10</v>
      </c>
      <c r="C21" s="145" t="str">
        <f t="shared" si="0"/>
        <v>RSN THE H-Gas</v>
      </c>
      <c r="D21" s="62" t="s">
        <v>249</v>
      </c>
      <c r="E21" s="165" t="s">
        <v>653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RSN THE H-Gas</v>
      </c>
      <c r="D22" s="62" t="s">
        <v>249</v>
      </c>
      <c r="E22" s="165" t="s">
        <v>654</v>
      </c>
      <c r="F22" s="307" t="str">
        <f>VLOOKUP($E22,'BDEW-Standard'!$B$3:$M$94,F$9,0)</f>
        <v>KO4</v>
      </c>
      <c r="H22" s="278">
        <f>ROUND(VLOOKUP($E22,'BDEW-Standard'!$B$3:$M$94,H$9,0),7)</f>
        <v>3.4428942999999999</v>
      </c>
      <c r="I22" s="278">
        <f>ROUND(VLOOKUP($E22,'BDEW-Standard'!$B$3:$M$94,I$9,0),7)</f>
        <v>-36.659050399999998</v>
      </c>
      <c r="J22" s="278">
        <f>ROUND(VLOOKUP($E22,'BDEW-Standard'!$B$3:$M$94,J$9,0),7)</f>
        <v>7.6083226000000002</v>
      </c>
      <c r="K22" s="278">
        <f>ROUND(VLOOKUP($E22,'BDEW-Standard'!$B$3:$M$94,K$9,0),7)</f>
        <v>7.4685000000000001E-2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0.97768382110526542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RSN THE H-Gas</v>
      </c>
      <c r="D23" s="62" t="s">
        <v>249</v>
      </c>
      <c r="E23" s="165" t="s">
        <v>655</v>
      </c>
      <c r="F23" s="307" t="str">
        <f>VLOOKUP($E23,'BDEW-Standard'!$B$3:$M$94,F$9,0)</f>
        <v>BD3</v>
      </c>
      <c r="H23" s="278">
        <f>ROUND(VLOOKUP($E23,'BDEW-Standard'!$B$3:$M$94,H$9,0),7)</f>
        <v>2.9177027</v>
      </c>
      <c r="I23" s="278">
        <f>ROUND(VLOOKUP($E23,'BDEW-Standard'!$B$3:$M$94,I$9,0),7)</f>
        <v>-36.179411700000003</v>
      </c>
      <c r="J23" s="278">
        <f>ROUND(VLOOKUP($E23,'BDEW-Standard'!$B$3:$M$94,J$9,0),7)</f>
        <v>5.9265162</v>
      </c>
      <c r="K23" s="278">
        <f>ROUND(VLOOKUP($E23,'BDEW-Standard'!$B$3:$M$94,K$9,0),7)</f>
        <v>0.11519119999999999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1.0656106174494469</v>
      </c>
      <c r="R23" s="281">
        <f>ROUND(VLOOKUP(MID($E23,4,3),'Wochentag F(WT)'!$B$7:$J$22,R$9,0),4)</f>
        <v>1.1052</v>
      </c>
      <c r="S23" s="281">
        <f>ROUND(VLOOKUP(MID($E23,4,3),'Wochentag F(WT)'!$B$7:$J$22,S$9,0),4)</f>
        <v>1.0857000000000001</v>
      </c>
      <c r="T23" s="281">
        <f>ROUND(VLOOKUP(MID($E23,4,3),'Wochentag F(WT)'!$B$7:$J$22,T$9,0),4)</f>
        <v>1.0378000000000001</v>
      </c>
      <c r="U23" s="281">
        <f>ROUND(VLOOKUP(MID($E23,4,3),'Wochentag F(WT)'!$B$7:$J$22,U$9,0),4)</f>
        <v>1.0622</v>
      </c>
      <c r="V23" s="281">
        <f>ROUND(VLOOKUP(MID($E23,4,3),'Wochentag F(WT)'!$B$7:$J$22,V$9,0),4)</f>
        <v>1.0266</v>
      </c>
      <c r="W23" s="281">
        <f>ROUND(VLOOKUP(MID($E23,4,3),'Wochentag F(WT)'!$B$7:$J$22,W$9,0),4)</f>
        <v>0.76290000000000002</v>
      </c>
      <c r="X23" s="282">
        <f t="shared" si="2"/>
        <v>0.91959999999999997</v>
      </c>
      <c r="Y23" s="303"/>
      <c r="Z23" s="212"/>
    </row>
    <row r="24" spans="2:26" s="143" customFormat="1">
      <c r="B24" s="144">
        <v>13</v>
      </c>
      <c r="C24" s="145" t="str">
        <f t="shared" si="0"/>
        <v>RSN THE H-Gas</v>
      </c>
      <c r="D24" s="62" t="s">
        <v>249</v>
      </c>
      <c r="E24" s="165" t="s">
        <v>656</v>
      </c>
      <c r="F24" s="307" t="str">
        <f>VLOOKUP($E24,'BDEW-Standard'!$B$3:$M$94,F$9,0)</f>
        <v>BD4</v>
      </c>
      <c r="H24" s="278">
        <f>ROUND(VLOOKUP($E24,'BDEW-Standard'!$B$3:$M$94,H$9,0),7)</f>
        <v>3.75</v>
      </c>
      <c r="I24" s="278">
        <f>ROUND(VLOOKUP($E24,'BDEW-Standard'!$B$3:$M$94,I$9,0),7)</f>
        <v>-37.5</v>
      </c>
      <c r="J24" s="278">
        <f>ROUND(VLOOKUP($E24,'BDEW-Standard'!$B$3:$M$94,J$9,0),7)</f>
        <v>6.8</v>
      </c>
      <c r="K24" s="278">
        <f>ROUND(VLOOKUP($E24,'BDEW-Standard'!$B$3:$M$94,K$9,0),7)</f>
        <v>6.0911300000000002E-2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1.0126136468627658</v>
      </c>
      <c r="R24" s="281">
        <f>ROUND(VLOOKUP(MID($E24,4,3),'Wochentag F(WT)'!$B$7:$J$22,R$9,0),4)</f>
        <v>1.1052</v>
      </c>
      <c r="S24" s="281">
        <f>ROUND(VLOOKUP(MID($E24,4,3),'Wochentag F(WT)'!$B$7:$J$22,S$9,0),4)</f>
        <v>1.0857000000000001</v>
      </c>
      <c r="T24" s="281">
        <f>ROUND(VLOOKUP(MID($E24,4,3),'Wochentag F(WT)'!$B$7:$J$22,T$9,0),4)</f>
        <v>1.0378000000000001</v>
      </c>
      <c r="U24" s="281">
        <f>ROUND(VLOOKUP(MID($E24,4,3),'Wochentag F(WT)'!$B$7:$J$22,U$9,0),4)</f>
        <v>1.0622</v>
      </c>
      <c r="V24" s="281">
        <f>ROUND(VLOOKUP(MID($E24,4,3),'Wochentag F(WT)'!$B$7:$J$22,V$9,0),4)</f>
        <v>1.0266</v>
      </c>
      <c r="W24" s="281">
        <f>ROUND(VLOOKUP(MID($E24,4,3),'Wochentag F(WT)'!$B$7:$J$22,W$9,0),4)</f>
        <v>0.76290000000000002</v>
      </c>
      <c r="X24" s="282">
        <f t="shared" si="2"/>
        <v>0.91959999999999997</v>
      </c>
      <c r="Y24" s="303"/>
      <c r="Z24" s="212"/>
    </row>
    <row r="25" spans="2:26" s="143" customFormat="1">
      <c r="B25" s="144">
        <v>14</v>
      </c>
      <c r="C25" s="145" t="str">
        <f t="shared" si="0"/>
        <v>RSN THE H-Gas</v>
      </c>
      <c r="D25" s="62" t="s">
        <v>249</v>
      </c>
      <c r="E25" s="165" t="s">
        <v>657</v>
      </c>
      <c r="F25" s="307" t="str">
        <f>VLOOKUP($E25,'BDEW-Standard'!$B$3:$M$94,F$9,0)</f>
        <v>GA3</v>
      </c>
      <c r="H25" s="278">
        <f>ROUND(VLOOKUP($E25,'BDEW-Standard'!$B$3:$M$94,H$9,0),7)</f>
        <v>2.2850164999999998</v>
      </c>
      <c r="I25" s="278">
        <f>ROUND(VLOOKUP($E25,'BDEW-Standard'!$B$3:$M$94,I$9,0),7)</f>
        <v>-36.287858399999998</v>
      </c>
      <c r="J25" s="278">
        <f>ROUND(VLOOKUP($E25,'BDEW-Standard'!$B$3:$M$94,J$9,0),7)</f>
        <v>6.5885125999999996</v>
      </c>
      <c r="K25" s="278">
        <f>ROUND(VLOOKUP($E25,'BDEW-Standard'!$B$3:$M$94,K$9,0),7)</f>
        <v>0.31505349999999999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1.0096183914256316</v>
      </c>
      <c r="R25" s="281">
        <f>ROUND(VLOOKUP(MID($E25,4,3),'Wochentag F(WT)'!$B$7:$J$22,R$9,0),4)</f>
        <v>0.93220000000000003</v>
      </c>
      <c r="S25" s="281">
        <f>ROUND(VLOOKUP(MID($E25,4,3),'Wochentag F(WT)'!$B$7:$J$22,S$9,0),4)</f>
        <v>0.98939999999999995</v>
      </c>
      <c r="T25" s="281">
        <f>ROUND(VLOOKUP(MID($E25,4,3),'Wochentag F(WT)'!$B$7:$J$22,T$9,0),4)</f>
        <v>1.0033000000000001</v>
      </c>
      <c r="U25" s="281">
        <f>ROUND(VLOOKUP(MID($E25,4,3),'Wochentag F(WT)'!$B$7:$J$22,U$9,0),4)</f>
        <v>1.0108999999999999</v>
      </c>
      <c r="V25" s="281">
        <f>ROUND(VLOOKUP(MID($E25,4,3),'Wochentag F(WT)'!$B$7:$J$22,V$9,0),4)</f>
        <v>1.018</v>
      </c>
      <c r="W25" s="281">
        <f>ROUND(VLOOKUP(MID($E25,4,3),'Wochentag F(WT)'!$B$7:$J$22,W$9,0),4)</f>
        <v>1.0356000000000001</v>
      </c>
      <c r="X25" s="282">
        <f t="shared" si="2"/>
        <v>1.0106000000000002</v>
      </c>
      <c r="Y25" s="303"/>
      <c r="Z25" s="212"/>
    </row>
    <row r="26" spans="2:26" s="143" customFormat="1">
      <c r="B26" s="144">
        <v>15</v>
      </c>
      <c r="C26" s="145" t="str">
        <f t="shared" si="0"/>
        <v>RSN THE H-Gas</v>
      </c>
      <c r="D26" s="62" t="s">
        <v>249</v>
      </c>
      <c r="E26" s="165" t="s">
        <v>658</v>
      </c>
      <c r="F26" s="307" t="str">
        <f>VLOOKUP($E26,'BDEW-Standard'!$B$3:$M$94,F$9,0)</f>
        <v>GA4</v>
      </c>
      <c r="H26" s="278">
        <f>ROUND(VLOOKUP($E26,'BDEW-Standard'!$B$3:$M$94,H$9,0),7)</f>
        <v>2.8195655999999998</v>
      </c>
      <c r="I26" s="278">
        <f>ROUND(VLOOKUP($E26,'BDEW-Standard'!$B$3:$M$94,I$9,0),7)</f>
        <v>-36</v>
      </c>
      <c r="J26" s="278">
        <f>ROUND(VLOOKUP($E26,'BDEW-Standard'!$B$3:$M$94,J$9,0),7)</f>
        <v>7.7368518000000002</v>
      </c>
      <c r="K26" s="278">
        <f>ROUND(VLOOKUP($E26,'BDEW-Standard'!$B$3:$M$94,K$9,0),7)</f>
        <v>0.157281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0.96576337685759206</v>
      </c>
      <c r="R26" s="281">
        <f>ROUND(VLOOKUP(MID($E26,4,3),'Wochentag F(WT)'!$B$7:$J$22,R$9,0),4)</f>
        <v>0.93220000000000003</v>
      </c>
      <c r="S26" s="281">
        <f>ROUND(VLOOKUP(MID($E26,4,3),'Wochentag F(WT)'!$B$7:$J$22,S$9,0),4)</f>
        <v>0.98939999999999995</v>
      </c>
      <c r="T26" s="281">
        <f>ROUND(VLOOKUP(MID($E26,4,3),'Wochentag F(WT)'!$B$7:$J$22,T$9,0),4)</f>
        <v>1.0033000000000001</v>
      </c>
      <c r="U26" s="281">
        <f>ROUND(VLOOKUP(MID($E26,4,3),'Wochentag F(WT)'!$B$7:$J$22,U$9,0),4)</f>
        <v>1.0108999999999999</v>
      </c>
      <c r="V26" s="281">
        <f>ROUND(VLOOKUP(MID($E26,4,3),'Wochentag F(WT)'!$B$7:$J$22,V$9,0),4)</f>
        <v>1.018</v>
      </c>
      <c r="W26" s="281">
        <f>ROUND(VLOOKUP(MID($E26,4,3),'Wochentag F(WT)'!$B$7:$J$22,W$9,0),4)</f>
        <v>1.0356000000000001</v>
      </c>
      <c r="X26" s="282">
        <f t="shared" si="2"/>
        <v>1.0106000000000002</v>
      </c>
      <c r="Y26" s="303"/>
      <c r="Z26" s="212"/>
    </row>
    <row r="27" spans="2:26" s="143" customFormat="1">
      <c r="B27" s="144">
        <v>16</v>
      </c>
      <c r="C27" s="145" t="str">
        <f t="shared" si="0"/>
        <v>RSN THE H-Gas</v>
      </c>
      <c r="D27" s="62" t="s">
        <v>249</v>
      </c>
      <c r="E27" s="165" t="s">
        <v>659</v>
      </c>
      <c r="F27" s="307" t="str">
        <f>VLOOKUP($E27,'BDEW-Standard'!$B$3:$M$94,F$9,0)</f>
        <v>BH3</v>
      </c>
      <c r="H27" s="278">
        <f>ROUND(VLOOKUP($E27,'BDEW-Standard'!$B$3:$M$94,H$9,0),7)</f>
        <v>2.0102471999999998</v>
      </c>
      <c r="I27" s="278">
        <f>ROUND(VLOOKUP($E27,'BDEW-Standard'!$B$3:$M$94,I$9,0),7)</f>
        <v>-35.253212400000002</v>
      </c>
      <c r="J27" s="278">
        <f>ROUND(VLOOKUP($E27,'BDEW-Standard'!$B$3:$M$94,J$9,0),7)</f>
        <v>6.1544406</v>
      </c>
      <c r="K27" s="278">
        <f>ROUND(VLOOKUP($E27,'BDEW-Standard'!$B$3:$M$94,K$9,0),7)</f>
        <v>0.32947409999999999</v>
      </c>
      <c r="L27" s="279">
        <f>ROUND(VLOOKUP($E27,'BDEW-Standard'!$B$3:$M$94,L$9,0),1)</f>
        <v>40</v>
      </c>
      <c r="M27" s="278">
        <f>ROUND(VLOOKUP($E27,'BDEW-Standard'!$B$3:$M$94,M$9,0),7)</f>
        <v>0</v>
      </c>
      <c r="N27" s="278">
        <f>ROUND(VLOOKUP($E27,'BDEW-Standard'!$B$3:$M$94,N$9,0),7)</f>
        <v>0</v>
      </c>
      <c r="O27" s="278">
        <f>ROUND(VLOOKUP($E27,'BDEW-Standard'!$B$3:$M$94,O$9,0),7)</f>
        <v>0</v>
      </c>
      <c r="P27" s="278">
        <f>ROUND(VLOOKUP($E27,'BDEW-Standard'!$B$3:$M$94,P$9,0),7)</f>
        <v>0</v>
      </c>
      <c r="Q27" s="280">
        <f t="shared" si="1"/>
        <v>1.0436896084076008</v>
      </c>
      <c r="R27" s="281">
        <f>ROUND(VLOOKUP(MID($E27,4,3),'Wochentag F(WT)'!$B$7:$J$22,R$9,0),4)</f>
        <v>0.97670000000000001</v>
      </c>
      <c r="S27" s="281">
        <f>ROUND(VLOOKUP(MID($E27,4,3),'Wochentag F(WT)'!$B$7:$J$22,S$9,0),4)</f>
        <v>1.0388999999999999</v>
      </c>
      <c r="T27" s="281">
        <f>ROUND(VLOOKUP(MID($E27,4,3),'Wochentag F(WT)'!$B$7:$J$22,T$9,0),4)</f>
        <v>1.0027999999999999</v>
      </c>
      <c r="U27" s="281">
        <f>ROUND(VLOOKUP(MID($E27,4,3),'Wochentag F(WT)'!$B$7:$J$22,U$9,0),4)</f>
        <v>1.0162</v>
      </c>
      <c r="V27" s="281">
        <f>ROUND(VLOOKUP(MID($E27,4,3),'Wochentag F(WT)'!$B$7:$J$22,V$9,0),4)</f>
        <v>1.0024</v>
      </c>
      <c r="W27" s="281">
        <f>ROUND(VLOOKUP(MID($E27,4,3),'Wochentag F(WT)'!$B$7:$J$22,W$9,0),4)</f>
        <v>1.0043</v>
      </c>
      <c r="X27" s="282">
        <f t="shared" ref="X27:X39" si="3">7-SUM(R27:W27)</f>
        <v>0.95870000000000122</v>
      </c>
      <c r="Y27" s="303"/>
    </row>
    <row r="28" spans="2:26" s="143" customFormat="1">
      <c r="B28" s="144">
        <v>17</v>
      </c>
      <c r="C28" s="145" t="str">
        <f t="shared" si="0"/>
        <v>RSN THE H-Gas</v>
      </c>
      <c r="D28" s="62" t="s">
        <v>249</v>
      </c>
      <c r="E28" s="165" t="s">
        <v>660</v>
      </c>
      <c r="F28" s="307" t="str">
        <f>VLOOKUP($E28,'BDEW-Standard'!$B$3:$M$94,F$9,0)</f>
        <v>BH4</v>
      </c>
      <c r="H28" s="278">
        <f>ROUND(VLOOKUP($E28,'BDEW-Standard'!$B$3:$M$94,H$9,0),7)</f>
        <v>2.4595180999999999</v>
      </c>
      <c r="I28" s="278">
        <f>ROUND(VLOOKUP($E28,'BDEW-Standard'!$B$3:$M$94,I$9,0),7)</f>
        <v>-35.253212400000002</v>
      </c>
      <c r="J28" s="278">
        <f>ROUND(VLOOKUP($E28,'BDEW-Standard'!$B$3:$M$94,J$9,0),7)</f>
        <v>6.0587001000000003</v>
      </c>
      <c r="K28" s="278">
        <f>ROUND(VLOOKUP($E28,'BDEW-Standard'!$B$3:$M$94,K$9,0),7)</f>
        <v>0.16473699999999999</v>
      </c>
      <c r="L28" s="279">
        <f>ROUND(VLOOKUP($E28,'BDEW-Standard'!$B$3:$M$94,L$9,0),1)</f>
        <v>40</v>
      </c>
      <c r="M28" s="278">
        <f>ROUND(VLOOKUP($E28,'BDEW-Standard'!$B$3:$M$94,M$9,0),7)</f>
        <v>0</v>
      </c>
      <c r="N28" s="278">
        <f>ROUND(VLOOKUP($E28,'BDEW-Standard'!$B$3:$M$94,N$9,0),7)</f>
        <v>0</v>
      </c>
      <c r="O28" s="278">
        <f>ROUND(VLOOKUP($E28,'BDEW-Standard'!$B$3:$M$94,O$9,0),7)</f>
        <v>0</v>
      </c>
      <c r="P28" s="278">
        <f>ROUND(VLOOKUP($E28,'BDEW-Standard'!$B$3:$M$94,P$9,0),7)</f>
        <v>0</v>
      </c>
      <c r="Q28" s="280">
        <f t="shared" si="1"/>
        <v>1.043802057143173</v>
      </c>
      <c r="R28" s="281">
        <f>ROUND(VLOOKUP(MID($E28,4,3),'Wochentag F(WT)'!$B$7:$J$22,R$9,0),4)</f>
        <v>0.97670000000000001</v>
      </c>
      <c r="S28" s="281">
        <f>ROUND(VLOOKUP(MID($E28,4,3),'Wochentag F(WT)'!$B$7:$J$22,S$9,0),4)</f>
        <v>1.0388999999999999</v>
      </c>
      <c r="T28" s="281">
        <f>ROUND(VLOOKUP(MID($E28,4,3),'Wochentag F(WT)'!$B$7:$J$22,T$9,0),4)</f>
        <v>1.0027999999999999</v>
      </c>
      <c r="U28" s="281">
        <f>ROUND(VLOOKUP(MID($E28,4,3),'Wochentag F(WT)'!$B$7:$J$22,U$9,0),4)</f>
        <v>1.0162</v>
      </c>
      <c r="V28" s="281">
        <f>ROUND(VLOOKUP(MID($E28,4,3),'Wochentag F(WT)'!$B$7:$J$22,V$9,0),4)</f>
        <v>1.0024</v>
      </c>
      <c r="W28" s="281">
        <f>ROUND(VLOOKUP(MID($E28,4,3),'Wochentag F(WT)'!$B$7:$J$22,W$9,0),4)</f>
        <v>1.0043</v>
      </c>
      <c r="X28" s="282">
        <f t="shared" si="3"/>
        <v>0.95870000000000122</v>
      </c>
      <c r="Y28" s="303"/>
    </row>
    <row r="29" spans="2:26" s="143" customFormat="1">
      <c r="B29" s="144">
        <v>18</v>
      </c>
      <c r="C29" s="145" t="str">
        <f t="shared" si="0"/>
        <v>RSN THE H-Gas</v>
      </c>
      <c r="D29" s="62" t="s">
        <v>249</v>
      </c>
      <c r="E29" s="166" t="s">
        <v>661</v>
      </c>
      <c r="F29" s="307" t="str">
        <f>VLOOKUP($E29,'BDEW-Standard'!$B$3:$M$94,F$9,0)</f>
        <v>WA3</v>
      </c>
      <c r="H29" s="278">
        <f>ROUND(VLOOKUP($E29,'BDEW-Standard'!$B$3:$M$94,H$9,0),7)</f>
        <v>0.76572899999999999</v>
      </c>
      <c r="I29" s="278">
        <f>ROUND(VLOOKUP($E29,'BDEW-Standard'!$B$3:$M$94,I$9,0),7)</f>
        <v>-36.023791199999998</v>
      </c>
      <c r="J29" s="278">
        <f>ROUND(VLOOKUP($E29,'BDEW-Standard'!$B$3:$M$94,J$9,0),7)</f>
        <v>4.8662747</v>
      </c>
      <c r="K29" s="278">
        <f>ROUND(VLOOKUP($E29,'BDEW-Standard'!$B$3:$M$94,K$9,0),7)</f>
        <v>0.80494250000000001</v>
      </c>
      <c r="L29" s="279">
        <f>ROUND(VLOOKUP($E29,'BDEW-Standard'!$B$3:$M$94,L$9,0),1)</f>
        <v>40</v>
      </c>
      <c r="M29" s="278">
        <f>ROUND(VLOOKUP($E29,'BDEW-Standard'!$B$3:$M$94,M$9,0),7)</f>
        <v>0</v>
      </c>
      <c r="N29" s="278">
        <f>ROUND(VLOOKUP($E29,'BDEW-Standard'!$B$3:$M$94,N$9,0),7)</f>
        <v>0</v>
      </c>
      <c r="O29" s="278">
        <f>ROUND(VLOOKUP($E29,'BDEW-Standard'!$B$3:$M$94,O$9,0),7)</f>
        <v>0</v>
      </c>
      <c r="P29" s="278">
        <f>ROUND(VLOOKUP($E29,'BDEW-Standard'!$B$3:$M$94,P$9,0),7)</f>
        <v>0</v>
      </c>
      <c r="Q29" s="280">
        <f t="shared" si="1"/>
        <v>1.0804258319686442</v>
      </c>
      <c r="R29" s="281">
        <f>ROUND(VLOOKUP(MID($E29,4,3),'Wochentag F(WT)'!$B$7:$J$22,R$9,0),4)</f>
        <v>1.2457</v>
      </c>
      <c r="S29" s="281">
        <f>ROUND(VLOOKUP(MID($E29,4,3),'Wochentag F(WT)'!$B$7:$J$22,S$9,0),4)</f>
        <v>1.2615000000000001</v>
      </c>
      <c r="T29" s="281">
        <f>ROUND(VLOOKUP(MID($E29,4,3),'Wochentag F(WT)'!$B$7:$J$22,T$9,0),4)</f>
        <v>1.2706999999999999</v>
      </c>
      <c r="U29" s="281">
        <f>ROUND(VLOOKUP(MID($E29,4,3),'Wochentag F(WT)'!$B$7:$J$22,U$9,0),4)</f>
        <v>1.2430000000000001</v>
      </c>
      <c r="V29" s="281">
        <f>ROUND(VLOOKUP(MID($E29,4,3),'Wochentag F(WT)'!$B$7:$J$22,V$9,0),4)</f>
        <v>1.1275999999999999</v>
      </c>
      <c r="W29" s="281">
        <f>ROUND(VLOOKUP(MID($E29,4,3),'Wochentag F(WT)'!$B$7:$J$22,W$9,0),4)</f>
        <v>0.38769999999999999</v>
      </c>
      <c r="X29" s="282">
        <f t="shared" si="3"/>
        <v>0.46379999999999999</v>
      </c>
      <c r="Y29" s="303"/>
    </row>
    <row r="30" spans="2:26" s="143" customFormat="1">
      <c r="B30" s="144">
        <v>19</v>
      </c>
      <c r="C30" s="145" t="str">
        <f t="shared" si="0"/>
        <v>RSN THE H-Gas</v>
      </c>
      <c r="D30" s="62" t="s">
        <v>249</v>
      </c>
      <c r="E30" s="166" t="s">
        <v>662</v>
      </c>
      <c r="F30" s="307" t="str">
        <f>VLOOKUP($E30,'BDEW-Standard'!$B$3:$M$94,F$9,0)</f>
        <v>WA4</v>
      </c>
      <c r="H30" s="278">
        <f>ROUND(VLOOKUP($E30,'BDEW-Standard'!$B$3:$M$94,H$9,0),7)</f>
        <v>1.0535874999999999</v>
      </c>
      <c r="I30" s="278">
        <f>ROUND(VLOOKUP($E30,'BDEW-Standard'!$B$3:$M$94,I$9,0),7)</f>
        <v>-35.299999999999997</v>
      </c>
      <c r="J30" s="278">
        <f>ROUND(VLOOKUP($E30,'BDEW-Standard'!$B$3:$M$94,J$9,0),7)</f>
        <v>4.8662747</v>
      </c>
      <c r="K30" s="278">
        <f>ROUND(VLOOKUP($E30,'BDEW-Standard'!$B$3:$M$94,K$9,0),7)</f>
        <v>0.68110420000000005</v>
      </c>
      <c r="L30" s="279">
        <f>ROUND(VLOOKUP($E30,'BDEW-Standard'!$B$3:$M$94,L$9,0),1)</f>
        <v>40</v>
      </c>
      <c r="M30" s="278">
        <f>ROUND(VLOOKUP($E30,'BDEW-Standard'!$B$3:$M$94,M$9,0),7)</f>
        <v>0</v>
      </c>
      <c r="N30" s="278">
        <f>ROUND(VLOOKUP($E30,'BDEW-Standard'!$B$3:$M$94,N$9,0),7)</f>
        <v>0</v>
      </c>
      <c r="O30" s="278">
        <f>ROUND(VLOOKUP($E30,'BDEW-Standard'!$B$3:$M$94,O$9,0),7)</f>
        <v>0</v>
      </c>
      <c r="P30" s="278">
        <f>ROUND(VLOOKUP($E30,'BDEW-Standard'!$B$3:$M$94,P$9,0),7)</f>
        <v>0</v>
      </c>
      <c r="Q30" s="280">
        <f t="shared" si="1"/>
        <v>1.0844348950990992</v>
      </c>
      <c r="R30" s="281">
        <f>ROUND(VLOOKUP(MID($E30,4,3),'Wochentag F(WT)'!$B$7:$J$22,R$9,0),4)</f>
        <v>1.2457</v>
      </c>
      <c r="S30" s="281">
        <f>ROUND(VLOOKUP(MID($E30,4,3),'Wochentag F(WT)'!$B$7:$J$22,S$9,0),4)</f>
        <v>1.2615000000000001</v>
      </c>
      <c r="T30" s="281">
        <f>ROUND(VLOOKUP(MID($E30,4,3),'Wochentag F(WT)'!$B$7:$J$22,T$9,0),4)</f>
        <v>1.2706999999999999</v>
      </c>
      <c r="U30" s="281">
        <f>ROUND(VLOOKUP(MID($E30,4,3),'Wochentag F(WT)'!$B$7:$J$22,U$9,0),4)</f>
        <v>1.2430000000000001</v>
      </c>
      <c r="V30" s="281">
        <f>ROUND(VLOOKUP(MID($E30,4,3),'Wochentag F(WT)'!$B$7:$J$22,V$9,0),4)</f>
        <v>1.1275999999999999</v>
      </c>
      <c r="W30" s="281">
        <f>ROUND(VLOOKUP(MID($E30,4,3),'Wochentag F(WT)'!$B$7:$J$22,W$9,0),4)</f>
        <v>0.38769999999999999</v>
      </c>
      <c r="X30" s="282">
        <f t="shared" si="3"/>
        <v>0.46379999999999999</v>
      </c>
      <c r="Y30" s="303"/>
    </row>
    <row r="31" spans="2:26" s="143" customFormat="1">
      <c r="B31" s="144">
        <v>20</v>
      </c>
      <c r="C31" s="145" t="str">
        <f t="shared" si="0"/>
        <v>RSN THE H-Gas</v>
      </c>
      <c r="D31" s="62" t="s">
        <v>249</v>
      </c>
      <c r="E31" s="166" t="s">
        <v>663</v>
      </c>
      <c r="F31" s="307" t="str">
        <f>VLOOKUP($E31,'BDEW-Standard'!$B$3:$M$94,F$9,0)</f>
        <v>GB3</v>
      </c>
      <c r="H31" s="278">
        <f>ROUND(VLOOKUP($E31,'BDEW-Standard'!$B$3:$M$94,H$9,0),7)</f>
        <v>3.2572741999999999</v>
      </c>
      <c r="I31" s="278">
        <f>ROUND(VLOOKUP($E31,'BDEW-Standard'!$B$3:$M$94,I$9,0),7)</f>
        <v>-37.5</v>
      </c>
      <c r="J31" s="278">
        <f>ROUND(VLOOKUP($E31,'BDEW-Standard'!$B$3:$M$94,J$9,0),7)</f>
        <v>6.3462148000000003</v>
      </c>
      <c r="K31" s="278">
        <f>ROUND(VLOOKUP($E31,'BDEW-Standard'!$B$3:$M$94,K$9,0),7)</f>
        <v>8.6622699999999997E-2</v>
      </c>
      <c r="L31" s="279">
        <f>ROUND(VLOOKUP($E31,'BDEW-Standard'!$B$3:$M$94,L$9,0),1)</f>
        <v>40</v>
      </c>
      <c r="M31" s="278">
        <f>ROUND(VLOOKUP($E31,'BDEW-Standard'!$B$3:$M$94,M$9,0),7)</f>
        <v>0</v>
      </c>
      <c r="N31" s="278">
        <f>ROUND(VLOOKUP($E31,'BDEW-Standard'!$B$3:$M$94,N$9,0),7)</f>
        <v>0</v>
      </c>
      <c r="O31" s="278">
        <f>ROUND(VLOOKUP($E31,'BDEW-Standard'!$B$3:$M$94,O$9,0),7)</f>
        <v>0</v>
      </c>
      <c r="P31" s="278">
        <f>ROUND(VLOOKUP($E31,'BDEW-Standard'!$B$3:$M$94,P$9,0),7)</f>
        <v>0</v>
      </c>
      <c r="Q31" s="280">
        <f t="shared" si="1"/>
        <v>0.9584556323619029</v>
      </c>
      <c r="R31" s="281">
        <f>ROUND(VLOOKUP(MID($E31,4,3),'Wochentag F(WT)'!$B$7:$J$22,R$9,0),4)</f>
        <v>0.98970000000000002</v>
      </c>
      <c r="S31" s="281">
        <f>ROUND(VLOOKUP(MID($E31,4,3),'Wochentag F(WT)'!$B$7:$J$22,S$9,0),4)</f>
        <v>0.9627</v>
      </c>
      <c r="T31" s="281">
        <f>ROUND(VLOOKUP(MID($E31,4,3),'Wochentag F(WT)'!$B$7:$J$22,T$9,0),4)</f>
        <v>1.0507</v>
      </c>
      <c r="U31" s="281">
        <f>ROUND(VLOOKUP(MID($E31,4,3),'Wochentag F(WT)'!$B$7:$J$22,U$9,0),4)</f>
        <v>1.0551999999999999</v>
      </c>
      <c r="V31" s="281">
        <f>ROUND(VLOOKUP(MID($E31,4,3),'Wochentag F(WT)'!$B$7:$J$22,V$9,0),4)</f>
        <v>1.0297000000000001</v>
      </c>
      <c r="W31" s="281">
        <f>ROUND(VLOOKUP(MID($E31,4,3),'Wochentag F(WT)'!$B$7:$J$22,W$9,0),4)</f>
        <v>0.97670000000000001</v>
      </c>
      <c r="X31" s="282">
        <f t="shared" si="3"/>
        <v>0.9352999999999998</v>
      </c>
      <c r="Y31" s="303"/>
    </row>
    <row r="32" spans="2:26" s="143" customFormat="1">
      <c r="B32" s="144">
        <v>21</v>
      </c>
      <c r="C32" s="145" t="str">
        <f t="shared" si="0"/>
        <v>RSN THE H-Gas</v>
      </c>
      <c r="D32" s="62" t="s">
        <v>249</v>
      </c>
      <c r="E32" s="166" t="s">
        <v>664</v>
      </c>
      <c r="F32" s="307" t="str">
        <f>VLOOKUP($E32,'BDEW-Standard'!$B$3:$M$94,F$9,0)</f>
        <v>GB4</v>
      </c>
      <c r="H32" s="278">
        <f>ROUND(VLOOKUP($E32,'BDEW-Standard'!$B$3:$M$94,H$9,0),7)</f>
        <v>3.6017736</v>
      </c>
      <c r="I32" s="278">
        <f>ROUND(VLOOKUP($E32,'BDEW-Standard'!$B$3:$M$94,I$9,0),7)</f>
        <v>-37.882536799999997</v>
      </c>
      <c r="J32" s="278">
        <f>ROUND(VLOOKUP($E32,'BDEW-Standard'!$B$3:$M$94,J$9,0),7)</f>
        <v>6.9836070000000001</v>
      </c>
      <c r="K32" s="278">
        <f>ROUND(VLOOKUP($E32,'BDEW-Standard'!$B$3:$M$94,K$9,0),7)</f>
        <v>5.4826199999999999E-2</v>
      </c>
      <c r="L32" s="279">
        <f>ROUND(VLOOKUP($E32,'BDEW-Standard'!$B$3:$M$94,L$9,0),1)</f>
        <v>40</v>
      </c>
      <c r="M32" s="278">
        <f>ROUND(VLOOKUP($E32,'BDEW-Standard'!$B$3:$M$94,M$9,0),7)</f>
        <v>0</v>
      </c>
      <c r="N32" s="278">
        <f>ROUND(VLOOKUP($E32,'BDEW-Standard'!$B$3:$M$94,N$9,0),7)</f>
        <v>0</v>
      </c>
      <c r="O32" s="278">
        <f>ROUND(VLOOKUP($E32,'BDEW-Standard'!$B$3:$M$94,O$9,0),7)</f>
        <v>0</v>
      </c>
      <c r="P32" s="278">
        <f>ROUND(VLOOKUP($E32,'BDEW-Standard'!$B$3:$M$94,P$9,0),7)</f>
        <v>0</v>
      </c>
      <c r="Q32" s="280">
        <f t="shared" si="1"/>
        <v>0.90239375975311864</v>
      </c>
      <c r="R32" s="281">
        <f>ROUND(VLOOKUP(MID($E32,4,3),'Wochentag F(WT)'!$B$7:$J$22,R$9,0),4)</f>
        <v>0.98970000000000002</v>
      </c>
      <c r="S32" s="281">
        <f>ROUND(VLOOKUP(MID($E32,4,3),'Wochentag F(WT)'!$B$7:$J$22,S$9,0),4)</f>
        <v>0.9627</v>
      </c>
      <c r="T32" s="281">
        <f>ROUND(VLOOKUP(MID($E32,4,3),'Wochentag F(WT)'!$B$7:$J$22,T$9,0),4)</f>
        <v>1.0507</v>
      </c>
      <c r="U32" s="281">
        <f>ROUND(VLOOKUP(MID($E32,4,3),'Wochentag F(WT)'!$B$7:$J$22,U$9,0),4)</f>
        <v>1.0551999999999999</v>
      </c>
      <c r="V32" s="281">
        <f>ROUND(VLOOKUP(MID($E32,4,3),'Wochentag F(WT)'!$B$7:$J$22,V$9,0),4)</f>
        <v>1.0297000000000001</v>
      </c>
      <c r="W32" s="281">
        <f>ROUND(VLOOKUP(MID($E32,4,3),'Wochentag F(WT)'!$B$7:$J$22,W$9,0),4)</f>
        <v>0.97670000000000001</v>
      </c>
      <c r="X32" s="282">
        <f t="shared" si="3"/>
        <v>0.9352999999999998</v>
      </c>
      <c r="Y32" s="303"/>
    </row>
    <row r="33" spans="2:25" s="143" customFormat="1">
      <c r="B33" s="144">
        <v>22</v>
      </c>
      <c r="C33" s="145" t="str">
        <f t="shared" si="0"/>
        <v>RSN THE H-Gas</v>
      </c>
      <c r="D33" s="62" t="s">
        <v>249</v>
      </c>
      <c r="E33" s="166" t="s">
        <v>665</v>
      </c>
      <c r="F33" s="307" t="str">
        <f>VLOOKUP($E33,'BDEW-Standard'!$B$3:$M$94,F$9,0)</f>
        <v>BA3</v>
      </c>
      <c r="H33" s="278">
        <f>ROUND(VLOOKUP($E33,'BDEW-Standard'!$B$3:$M$94,H$9,0),7)</f>
        <v>0.62619619999999998</v>
      </c>
      <c r="I33" s="278">
        <f>ROUND(VLOOKUP($E33,'BDEW-Standard'!$B$3:$M$94,I$9,0),7)</f>
        <v>-33</v>
      </c>
      <c r="J33" s="278">
        <f>ROUND(VLOOKUP($E33,'BDEW-Standard'!$B$3:$M$94,J$9,0),7)</f>
        <v>5.7212303000000002</v>
      </c>
      <c r="K33" s="278">
        <f>ROUND(VLOOKUP($E33,'BDEW-Standard'!$B$3:$M$94,K$9,0),7)</f>
        <v>0.78556550000000003</v>
      </c>
      <c r="L33" s="279">
        <f>ROUND(VLOOKUP($E33,'BDEW-Standard'!$B$3:$M$94,L$9,0),1)</f>
        <v>40</v>
      </c>
      <c r="M33" s="278">
        <f>ROUND(VLOOKUP($E33,'BDEW-Standard'!$B$3:$M$94,M$9,0),7)</f>
        <v>0</v>
      </c>
      <c r="N33" s="278">
        <f>ROUND(VLOOKUP($E33,'BDEW-Standard'!$B$3:$M$94,N$9,0),7)</f>
        <v>0</v>
      </c>
      <c r="O33" s="278">
        <f>ROUND(VLOOKUP($E33,'BDEW-Standard'!$B$3:$M$94,O$9,0),7)</f>
        <v>0</v>
      </c>
      <c r="P33" s="278">
        <f>ROUND(VLOOKUP($E33,'BDEW-Standard'!$B$3:$M$94,P$9,0),7)</f>
        <v>0</v>
      </c>
      <c r="Q33" s="280">
        <f t="shared" si="1"/>
        <v>1.0711738317583412</v>
      </c>
      <c r="R33" s="281">
        <f>ROUND(VLOOKUP(MID($E33,4,3),'Wochentag F(WT)'!$B$7:$J$22,R$9,0),4)</f>
        <v>1.0848</v>
      </c>
      <c r="S33" s="281">
        <f>ROUND(VLOOKUP(MID($E33,4,3),'Wochentag F(WT)'!$B$7:$J$22,S$9,0),4)</f>
        <v>1.1211</v>
      </c>
      <c r="T33" s="281">
        <f>ROUND(VLOOKUP(MID($E33,4,3),'Wochentag F(WT)'!$B$7:$J$22,T$9,0),4)</f>
        <v>1.0769</v>
      </c>
      <c r="U33" s="281">
        <f>ROUND(VLOOKUP(MID($E33,4,3),'Wochentag F(WT)'!$B$7:$J$22,U$9,0),4)</f>
        <v>1.1353</v>
      </c>
      <c r="V33" s="281">
        <f>ROUND(VLOOKUP(MID($E33,4,3),'Wochentag F(WT)'!$B$7:$J$22,V$9,0),4)</f>
        <v>1.1402000000000001</v>
      </c>
      <c r="W33" s="281">
        <f>ROUND(VLOOKUP(MID($E33,4,3),'Wochentag F(WT)'!$B$7:$J$22,W$9,0),4)</f>
        <v>0.48520000000000002</v>
      </c>
      <c r="X33" s="282">
        <f t="shared" si="3"/>
        <v>0.95650000000000013</v>
      </c>
      <c r="Y33" s="303"/>
    </row>
    <row r="34" spans="2:25" s="143" customFormat="1">
      <c r="B34" s="144">
        <v>23</v>
      </c>
      <c r="C34" s="145" t="str">
        <f t="shared" si="0"/>
        <v>RSN THE H-Gas</v>
      </c>
      <c r="D34" s="62" t="s">
        <v>249</v>
      </c>
      <c r="E34" s="166" t="s">
        <v>666</v>
      </c>
      <c r="F34" s="307" t="str">
        <f>VLOOKUP($E34,'BDEW-Standard'!$B$3:$M$94,F$9,0)</f>
        <v>BA4</v>
      </c>
      <c r="H34" s="278">
        <f>ROUND(VLOOKUP($E34,'BDEW-Standard'!$B$3:$M$94,H$9,0),7)</f>
        <v>0.93158890000000005</v>
      </c>
      <c r="I34" s="278">
        <f>ROUND(VLOOKUP($E34,'BDEW-Standard'!$B$3:$M$94,I$9,0),7)</f>
        <v>-33.35</v>
      </c>
      <c r="J34" s="278">
        <f>ROUND(VLOOKUP($E34,'BDEW-Standard'!$B$3:$M$94,J$9,0),7)</f>
        <v>5.7212303000000002</v>
      </c>
      <c r="K34" s="278">
        <f>ROUND(VLOOKUP($E34,'BDEW-Standard'!$B$3:$M$94,K$9,0),7)</f>
        <v>0.66564939999999995</v>
      </c>
      <c r="L34" s="279">
        <f>ROUND(VLOOKUP($E34,'BDEW-Standard'!$B$3:$M$94,L$9,0),1)</f>
        <v>40</v>
      </c>
      <c r="M34" s="278">
        <f>ROUND(VLOOKUP($E34,'BDEW-Standard'!$B$3:$M$94,M$9,0),7)</f>
        <v>0</v>
      </c>
      <c r="N34" s="278">
        <f>ROUND(VLOOKUP($E34,'BDEW-Standard'!$B$3:$M$94,N$9,0),7)</f>
        <v>0</v>
      </c>
      <c r="O34" s="278">
        <f>ROUND(VLOOKUP($E34,'BDEW-Standard'!$B$3:$M$94,O$9,0),7)</f>
        <v>0</v>
      </c>
      <c r="P34" s="278">
        <f>ROUND(VLOOKUP($E34,'BDEW-Standard'!$B$3:$M$94,P$9,0),7)</f>
        <v>0</v>
      </c>
      <c r="Q34" s="280">
        <f t="shared" si="1"/>
        <v>1.0766391850538448</v>
      </c>
      <c r="R34" s="281">
        <f>ROUND(VLOOKUP(MID($E34,4,3),'Wochentag F(WT)'!$B$7:$J$22,R$9,0),4)</f>
        <v>1.0848</v>
      </c>
      <c r="S34" s="281">
        <f>ROUND(VLOOKUP(MID($E34,4,3),'Wochentag F(WT)'!$B$7:$J$22,S$9,0),4)</f>
        <v>1.1211</v>
      </c>
      <c r="T34" s="281">
        <f>ROUND(VLOOKUP(MID($E34,4,3),'Wochentag F(WT)'!$B$7:$J$22,T$9,0),4)</f>
        <v>1.0769</v>
      </c>
      <c r="U34" s="281">
        <f>ROUND(VLOOKUP(MID($E34,4,3),'Wochentag F(WT)'!$B$7:$J$22,U$9,0),4)</f>
        <v>1.1353</v>
      </c>
      <c r="V34" s="281">
        <f>ROUND(VLOOKUP(MID($E34,4,3),'Wochentag F(WT)'!$B$7:$J$22,V$9,0),4)</f>
        <v>1.1402000000000001</v>
      </c>
      <c r="W34" s="281">
        <f>ROUND(VLOOKUP(MID($E34,4,3),'Wochentag F(WT)'!$B$7:$J$22,W$9,0),4)</f>
        <v>0.48520000000000002</v>
      </c>
      <c r="X34" s="282">
        <f t="shared" si="3"/>
        <v>0.95650000000000013</v>
      </c>
      <c r="Y34" s="303"/>
    </row>
    <row r="35" spans="2:25" s="143" customFormat="1">
      <c r="B35" s="144">
        <v>24</v>
      </c>
      <c r="C35" s="145" t="str">
        <f t="shared" si="0"/>
        <v>RSN THE H-Gas</v>
      </c>
      <c r="D35" s="62" t="s">
        <v>249</v>
      </c>
      <c r="E35" s="166" t="s">
        <v>667</v>
      </c>
      <c r="F35" s="307" t="str">
        <f>VLOOKUP($E35,'BDEW-Standard'!$B$3:$M$94,F$9,0)</f>
        <v>PD3</v>
      </c>
      <c r="H35" s="278">
        <f>ROUND(VLOOKUP($E35,'BDEW-Standard'!$B$3:$M$94,H$9,0),7)</f>
        <v>3.2</v>
      </c>
      <c r="I35" s="278">
        <f>ROUND(VLOOKUP($E35,'BDEW-Standard'!$B$3:$M$94,I$9,0),7)</f>
        <v>-35.799999999999997</v>
      </c>
      <c r="J35" s="278">
        <f>ROUND(VLOOKUP($E35,'BDEW-Standard'!$B$3:$M$94,J$9,0),7)</f>
        <v>8.4</v>
      </c>
      <c r="K35" s="278">
        <f>ROUND(VLOOKUP($E35,'BDEW-Standard'!$B$3:$M$94,K$9,0),7)</f>
        <v>9.3848600000000004E-2</v>
      </c>
      <c r="L35" s="279">
        <f>ROUND(VLOOKUP($E35,'BDEW-Standard'!$B$3:$M$94,L$9,0),1)</f>
        <v>40</v>
      </c>
      <c r="M35" s="278">
        <f>ROUND(VLOOKUP($E35,'BDEW-Standard'!$B$3:$M$94,M$9,0),7)</f>
        <v>0</v>
      </c>
      <c r="N35" s="278">
        <f>ROUND(VLOOKUP($E35,'BDEW-Standard'!$B$3:$M$94,N$9,0),7)</f>
        <v>0</v>
      </c>
      <c r="O35" s="278">
        <f>ROUND(VLOOKUP($E35,'BDEW-Standard'!$B$3:$M$94,O$9,0),7)</f>
        <v>0</v>
      </c>
      <c r="P35" s="278">
        <f>ROUND(VLOOKUP($E35,'BDEW-Standard'!$B$3:$M$94,P$9,0),7)</f>
        <v>0</v>
      </c>
      <c r="Q35" s="280">
        <f t="shared" si="1"/>
        <v>0.99106250024889242</v>
      </c>
      <c r="R35" s="281">
        <f>ROUND(VLOOKUP(MID($E35,4,3),'Wochentag F(WT)'!$B$7:$J$22,R$9,0),4)</f>
        <v>1.0214000000000001</v>
      </c>
      <c r="S35" s="281">
        <f>ROUND(VLOOKUP(MID($E35,4,3),'Wochentag F(WT)'!$B$7:$J$22,S$9,0),4)</f>
        <v>1.0866</v>
      </c>
      <c r="T35" s="281">
        <f>ROUND(VLOOKUP(MID($E35,4,3),'Wochentag F(WT)'!$B$7:$J$22,T$9,0),4)</f>
        <v>1.0720000000000001</v>
      </c>
      <c r="U35" s="281">
        <f>ROUND(VLOOKUP(MID($E35,4,3),'Wochentag F(WT)'!$B$7:$J$22,U$9,0),4)</f>
        <v>1.0557000000000001</v>
      </c>
      <c r="V35" s="281">
        <f>ROUND(VLOOKUP(MID($E35,4,3),'Wochentag F(WT)'!$B$7:$J$22,V$9,0),4)</f>
        <v>1.0117</v>
      </c>
      <c r="W35" s="281">
        <f>ROUND(VLOOKUP(MID($E35,4,3),'Wochentag F(WT)'!$B$7:$J$22,W$9,0),4)</f>
        <v>0.90010000000000001</v>
      </c>
      <c r="X35" s="282">
        <f t="shared" si="3"/>
        <v>0.85249999999999915</v>
      </c>
      <c r="Y35" s="303"/>
    </row>
    <row r="36" spans="2:25" s="143" customFormat="1">
      <c r="B36" s="144">
        <v>25</v>
      </c>
      <c r="C36" s="145" t="str">
        <f t="shared" si="0"/>
        <v>RSN THE H-Gas</v>
      </c>
      <c r="D36" s="62" t="s">
        <v>249</v>
      </c>
      <c r="E36" s="166" t="s">
        <v>668</v>
      </c>
      <c r="F36" s="307" t="str">
        <f>VLOOKUP($E36,'BDEW-Standard'!$B$3:$M$94,F$9,0)</f>
        <v>PD4</v>
      </c>
      <c r="H36" s="278">
        <f>ROUND(VLOOKUP($E36,'BDEW-Standard'!$B$3:$M$94,H$9,0),7)</f>
        <v>3.85</v>
      </c>
      <c r="I36" s="278">
        <f>ROUND(VLOOKUP($E36,'BDEW-Standard'!$B$3:$M$94,I$9,0),7)</f>
        <v>-37</v>
      </c>
      <c r="J36" s="278">
        <f>ROUND(VLOOKUP($E36,'BDEW-Standard'!$B$3:$M$94,J$9,0),7)</f>
        <v>10.2405021</v>
      </c>
      <c r="K36" s="278">
        <f>ROUND(VLOOKUP($E36,'BDEW-Standard'!$B$3:$M$94,K$9,0),7)</f>
        <v>4.6924300000000002E-2</v>
      </c>
      <c r="L36" s="279">
        <f>ROUND(VLOOKUP($E36,'BDEW-Standard'!$B$3:$M$94,L$9,0),1)</f>
        <v>40</v>
      </c>
      <c r="M36" s="278">
        <f>ROUND(VLOOKUP($E36,'BDEW-Standard'!$B$3:$M$94,M$9,0),7)</f>
        <v>0</v>
      </c>
      <c r="N36" s="278">
        <f>ROUND(VLOOKUP($E36,'BDEW-Standard'!$B$3:$M$94,N$9,0),7)</f>
        <v>0</v>
      </c>
      <c r="O36" s="278">
        <f>ROUND(VLOOKUP($E36,'BDEW-Standard'!$B$3:$M$94,O$9,0),7)</f>
        <v>0</v>
      </c>
      <c r="P36" s="278">
        <f>ROUND(VLOOKUP($E36,'BDEW-Standard'!$B$3:$M$94,P$9,0),7)</f>
        <v>0</v>
      </c>
      <c r="Q36" s="280">
        <f t="shared" si="1"/>
        <v>0.75691065279879233</v>
      </c>
      <c r="R36" s="281">
        <f>ROUND(VLOOKUP(MID($E36,4,3),'Wochentag F(WT)'!$B$7:$J$22,R$9,0),4)</f>
        <v>1.0214000000000001</v>
      </c>
      <c r="S36" s="281">
        <f>ROUND(VLOOKUP(MID($E36,4,3),'Wochentag F(WT)'!$B$7:$J$22,S$9,0),4)</f>
        <v>1.0866</v>
      </c>
      <c r="T36" s="281">
        <f>ROUND(VLOOKUP(MID($E36,4,3),'Wochentag F(WT)'!$B$7:$J$22,T$9,0),4)</f>
        <v>1.0720000000000001</v>
      </c>
      <c r="U36" s="281">
        <f>ROUND(VLOOKUP(MID($E36,4,3),'Wochentag F(WT)'!$B$7:$J$22,U$9,0),4)</f>
        <v>1.0557000000000001</v>
      </c>
      <c r="V36" s="281">
        <f>ROUND(VLOOKUP(MID($E36,4,3),'Wochentag F(WT)'!$B$7:$J$22,V$9,0),4)</f>
        <v>1.0117</v>
      </c>
      <c r="W36" s="281">
        <f>ROUND(VLOOKUP(MID($E36,4,3),'Wochentag F(WT)'!$B$7:$J$22,W$9,0),4)</f>
        <v>0.90010000000000001</v>
      </c>
      <c r="X36" s="282">
        <f t="shared" si="3"/>
        <v>0.85249999999999915</v>
      </c>
      <c r="Y36" s="303"/>
    </row>
    <row r="37" spans="2:25" s="143" customFormat="1">
      <c r="B37" s="144">
        <v>26</v>
      </c>
      <c r="C37" s="145" t="str">
        <f t="shared" si="0"/>
        <v>RSN THE H-Gas</v>
      </c>
      <c r="D37" s="62" t="s">
        <v>249</v>
      </c>
      <c r="E37" s="166" t="s">
        <v>669</v>
      </c>
      <c r="F37" s="307" t="str">
        <f>VLOOKUP($E37,'BDEW-Standard'!$B$3:$M$94,F$9,0)</f>
        <v>MF3</v>
      </c>
      <c r="H37" s="278">
        <f>ROUND(VLOOKUP($E37,'BDEW-Standard'!$B$3:$M$94,H$9,0),7)</f>
        <v>2.3877617999999998</v>
      </c>
      <c r="I37" s="278">
        <f>ROUND(VLOOKUP($E37,'BDEW-Standard'!$B$3:$M$94,I$9,0),7)</f>
        <v>-34.721360500000003</v>
      </c>
      <c r="J37" s="278">
        <f>ROUND(VLOOKUP($E37,'BDEW-Standard'!$B$3:$M$94,J$9,0),7)</f>
        <v>5.8164303999999998</v>
      </c>
      <c r="K37" s="278">
        <f>ROUND(VLOOKUP($E37,'BDEW-Standard'!$B$3:$M$94,K$9,0),7)</f>
        <v>0.12081939999999999</v>
      </c>
      <c r="L37" s="279">
        <f>ROUND(VLOOKUP($E37,'BDEW-Standard'!$B$3:$M$94,L$9,0),1)</f>
        <v>40</v>
      </c>
      <c r="M37" s="278">
        <f>ROUND(VLOOKUP($E37,'BDEW-Standard'!$B$3:$M$94,M$9,0),7)</f>
        <v>0</v>
      </c>
      <c r="N37" s="278">
        <f>ROUND(VLOOKUP($E37,'BDEW-Standard'!$B$3:$M$94,N$9,0),7)</f>
        <v>0</v>
      </c>
      <c r="O37" s="278">
        <f>ROUND(VLOOKUP($E37,'BDEW-Standard'!$B$3:$M$94,O$9,0),7)</f>
        <v>0</v>
      </c>
      <c r="P37" s="278">
        <f>ROUND(VLOOKUP($E37,'BDEW-Standard'!$B$3:$M$94,P$9,0),7)</f>
        <v>0</v>
      </c>
      <c r="Q37" s="280">
        <f t="shared" si="1"/>
        <v>1.0365184142102302</v>
      </c>
      <c r="R37" s="281">
        <f>ROUND(VLOOKUP(MID($E37,4,3),'Wochentag F(WT)'!$B$7:$J$22,R$9,0),4)</f>
        <v>1.0354000000000001</v>
      </c>
      <c r="S37" s="281">
        <f>ROUND(VLOOKUP(MID($E37,4,3),'Wochentag F(WT)'!$B$7:$J$22,S$9,0),4)</f>
        <v>1.0523</v>
      </c>
      <c r="T37" s="281">
        <f>ROUND(VLOOKUP(MID($E37,4,3),'Wochentag F(WT)'!$B$7:$J$22,T$9,0),4)</f>
        <v>1.0448999999999999</v>
      </c>
      <c r="U37" s="281">
        <f>ROUND(VLOOKUP(MID($E37,4,3),'Wochentag F(WT)'!$B$7:$J$22,U$9,0),4)</f>
        <v>1.0494000000000001</v>
      </c>
      <c r="V37" s="281">
        <f>ROUND(VLOOKUP(MID($E37,4,3),'Wochentag F(WT)'!$B$7:$J$22,V$9,0),4)</f>
        <v>0.98850000000000005</v>
      </c>
      <c r="W37" s="281">
        <f>ROUND(VLOOKUP(MID($E37,4,3),'Wochentag F(WT)'!$B$7:$J$22,W$9,0),4)</f>
        <v>0.88600000000000001</v>
      </c>
      <c r="X37" s="282">
        <f t="shared" si="3"/>
        <v>0.94349999999999934</v>
      </c>
      <c r="Y37" s="303"/>
    </row>
    <row r="38" spans="2:25" s="143" customFormat="1">
      <c r="B38" s="144">
        <v>27</v>
      </c>
      <c r="C38" s="145" t="str">
        <f t="shared" si="0"/>
        <v>RSN THE H-Gas</v>
      </c>
      <c r="D38" s="62" t="s">
        <v>249</v>
      </c>
      <c r="E38" s="166" t="s">
        <v>670</v>
      </c>
      <c r="F38" s="307" t="str">
        <f>VLOOKUP($E38,'BDEW-Standard'!$B$3:$M$94,F$9,0)</f>
        <v>HD3</v>
      </c>
      <c r="H38" s="278">
        <f>ROUND(VLOOKUP($E38,'BDEW-Standard'!$B$3:$M$94,H$9,0),7)</f>
        <v>2.5792510000000002</v>
      </c>
      <c r="I38" s="278">
        <f>ROUND(VLOOKUP($E38,'BDEW-Standard'!$B$3:$M$94,I$9,0),7)</f>
        <v>-35.681614400000001</v>
      </c>
      <c r="J38" s="278">
        <f>ROUND(VLOOKUP($E38,'BDEW-Standard'!$B$3:$M$94,J$9,0),7)</f>
        <v>6.6857975999999999</v>
      </c>
      <c r="K38" s="278">
        <f>ROUND(VLOOKUP($E38,'BDEW-Standard'!$B$3:$M$94,K$9,0),7)</f>
        <v>0.19955410000000001</v>
      </c>
      <c r="L38" s="279">
        <f>ROUND(VLOOKUP($E38,'BDEW-Standard'!$B$3:$M$94,L$9,0),1)</f>
        <v>40</v>
      </c>
      <c r="M38" s="278">
        <f>ROUND(VLOOKUP($E38,'BDEW-Standard'!$B$3:$M$94,M$9,0),7)</f>
        <v>0</v>
      </c>
      <c r="N38" s="278">
        <f>ROUND(VLOOKUP($E38,'BDEW-Standard'!$B$3:$M$94,N$9,0),7)</f>
        <v>0</v>
      </c>
      <c r="O38" s="278">
        <f>ROUND(VLOOKUP($E38,'BDEW-Standard'!$B$3:$M$94,O$9,0),7)</f>
        <v>0</v>
      </c>
      <c r="P38" s="278">
        <f>ROUND(VLOOKUP($E38,'BDEW-Standard'!$B$3:$M$94,P$9,0),7)</f>
        <v>0</v>
      </c>
      <c r="Q38" s="280">
        <f t="shared" si="1"/>
        <v>1.0393994293439688</v>
      </c>
      <c r="R38" s="281">
        <f>ROUND(VLOOKUP(MID($E38,4,3),'Wochentag F(WT)'!$B$7:$J$22,R$9,0),4)</f>
        <v>1.03</v>
      </c>
      <c r="S38" s="281">
        <f>ROUND(VLOOKUP(MID($E38,4,3),'Wochentag F(WT)'!$B$7:$J$22,S$9,0),4)</f>
        <v>1.03</v>
      </c>
      <c r="T38" s="281">
        <f>ROUND(VLOOKUP(MID($E38,4,3),'Wochentag F(WT)'!$B$7:$J$22,T$9,0),4)</f>
        <v>1.02</v>
      </c>
      <c r="U38" s="281">
        <f>ROUND(VLOOKUP(MID($E38,4,3),'Wochentag F(WT)'!$B$7:$J$22,U$9,0),4)</f>
        <v>1.03</v>
      </c>
      <c r="V38" s="281">
        <f>ROUND(VLOOKUP(MID($E38,4,3),'Wochentag F(WT)'!$B$7:$J$22,V$9,0),4)</f>
        <v>1.01</v>
      </c>
      <c r="W38" s="281">
        <f>ROUND(VLOOKUP(MID($E38,4,3),'Wochentag F(WT)'!$B$7:$J$22,W$9,0),4)</f>
        <v>0.93</v>
      </c>
      <c r="X38" s="282">
        <f t="shared" si="3"/>
        <v>0.95000000000000018</v>
      </c>
      <c r="Y38" s="303"/>
    </row>
    <row r="39" spans="2:25" s="143" customFormat="1">
      <c r="B39" s="144">
        <v>28</v>
      </c>
      <c r="C39" s="145" t="str">
        <f t="shared" si="0"/>
        <v>RSN THE H-Gas</v>
      </c>
      <c r="D39" s="62" t="s">
        <v>249</v>
      </c>
      <c r="E39" s="166" t="s">
        <v>671</v>
      </c>
      <c r="F39" s="307" t="str">
        <f>VLOOKUP($E39,'BDEW-Standard'!$B$3:$M$94,F$9,0)</f>
        <v>HD4</v>
      </c>
      <c r="H39" s="278">
        <f>ROUND(VLOOKUP($E39,'BDEW-Standard'!$B$3:$M$94,H$9,0),7)</f>
        <v>3.0084346000000002</v>
      </c>
      <c r="I39" s="278">
        <f>ROUND(VLOOKUP($E39,'BDEW-Standard'!$B$3:$M$94,I$9,0),7)</f>
        <v>-36.607845300000001</v>
      </c>
      <c r="J39" s="278">
        <f>ROUND(VLOOKUP($E39,'BDEW-Standard'!$B$3:$M$94,J$9,0),7)</f>
        <v>7.3211870000000001</v>
      </c>
      <c r="K39" s="278">
        <f>ROUND(VLOOKUP($E39,'BDEW-Standard'!$B$3:$M$94,K$9,0),7)</f>
        <v>0.15496599999999999</v>
      </c>
      <c r="L39" s="279">
        <f>ROUND(VLOOKUP($E39,'BDEW-Standard'!$B$3:$M$94,L$9,0),1)</f>
        <v>40</v>
      </c>
      <c r="M39" s="278">
        <f>ROUND(VLOOKUP($E39,'BDEW-Standard'!$B$3:$M$94,M$9,0),7)</f>
        <v>0</v>
      </c>
      <c r="N39" s="278">
        <f>ROUND(VLOOKUP($E39,'BDEW-Standard'!$B$3:$M$94,N$9,0),7)</f>
        <v>0</v>
      </c>
      <c r="O39" s="278">
        <f>ROUND(VLOOKUP($E39,'BDEW-Standard'!$B$3:$M$94,O$9,0),7)</f>
        <v>0</v>
      </c>
      <c r="P39" s="278">
        <f>ROUND(VLOOKUP($E39,'BDEW-Standard'!$B$3:$M$94,P$9,0),7)</f>
        <v>0</v>
      </c>
      <c r="Q39" s="280">
        <f t="shared" si="1"/>
        <v>0.97302438504000599</v>
      </c>
      <c r="R39" s="281">
        <f>ROUND(VLOOKUP(MID($E39,4,3),'Wochentag F(WT)'!$B$7:$J$22,R$9,0),4)</f>
        <v>1.03</v>
      </c>
      <c r="S39" s="281">
        <f>ROUND(VLOOKUP(MID($E39,4,3),'Wochentag F(WT)'!$B$7:$J$22,S$9,0),4)</f>
        <v>1.03</v>
      </c>
      <c r="T39" s="281">
        <f>ROUND(VLOOKUP(MID($E39,4,3),'Wochentag F(WT)'!$B$7:$J$22,T$9,0),4)</f>
        <v>1.02</v>
      </c>
      <c r="U39" s="281">
        <f>ROUND(VLOOKUP(MID($E39,4,3),'Wochentag F(WT)'!$B$7:$J$22,U$9,0),4)</f>
        <v>1.03</v>
      </c>
      <c r="V39" s="281">
        <f>ROUND(VLOOKUP(MID($E39,4,3),'Wochentag F(WT)'!$B$7:$J$22,V$9,0),4)</f>
        <v>1.01</v>
      </c>
      <c r="W39" s="281">
        <f>ROUND(VLOOKUP(MID($E39,4,3),'Wochentag F(WT)'!$B$7:$J$22,W$9,0),4)</f>
        <v>0.93</v>
      </c>
      <c r="X39" s="282">
        <f t="shared" si="3"/>
        <v>0.95000000000000018</v>
      </c>
      <c r="Y39" s="303"/>
    </row>
    <row r="40" spans="2:25" s="143" customFormat="1">
      <c r="B40" s="144">
        <v>29</v>
      </c>
      <c r="C40" s="145" t="str">
        <f t="shared" si="0"/>
        <v>RSN THE H-Gas</v>
      </c>
      <c r="D40" s="62"/>
      <c r="E40" s="166"/>
      <c r="F40" s="307"/>
      <c r="H40" s="278"/>
      <c r="I40" s="278"/>
      <c r="J40" s="278"/>
      <c r="K40" s="278"/>
      <c r="L40" s="279"/>
      <c r="M40" s="278"/>
      <c r="N40" s="278"/>
      <c r="O40" s="278"/>
      <c r="P40" s="278"/>
      <c r="Q40" s="280"/>
      <c r="R40" s="281"/>
      <c r="S40" s="281"/>
      <c r="T40" s="281"/>
      <c r="U40" s="281"/>
      <c r="V40" s="281"/>
      <c r="W40" s="281"/>
      <c r="X40" s="282"/>
      <c r="Y40" s="303"/>
    </row>
    <row r="41" spans="2:25" s="143" customFormat="1">
      <c r="B41" s="144">
        <v>30</v>
      </c>
      <c r="C41" s="145" t="str">
        <f t="shared" si="0"/>
        <v>RSN THE H-Gas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mergeCells count="1">
    <mergeCell ref="D7:E7"/>
  </mergeCells>
  <conditionalFormatting sqref="F11:F26 H11:Y26 H41:Y41 F41">
    <cfRule type="expression" dxfId="13" priority="12">
      <formula>ISERROR(F11)</formula>
    </cfRule>
  </conditionalFormatting>
  <conditionalFormatting sqref="Y12:Y26 E12:F26 E41:F41 E27:E40 Y41">
    <cfRule type="duplicateValues" dxfId="12" priority="34"/>
  </conditionalFormatting>
  <conditionalFormatting sqref="F27:F40 H27:Y40">
    <cfRule type="expression" dxfId="11" priority="2">
      <formula>ISERROR(F27)</formula>
    </cfRule>
  </conditionalFormatting>
  <conditionalFormatting sqref="Y27:Y40 F27:F40">
    <cfRule type="duplicateValues" dxfId="10" priority="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Y11:Y26 Y41</xm:sqref>
        </x14:conditionalFormatting>
        <x14:conditionalFormatting xmlns:xm="http://schemas.microsoft.com/office/excel/2006/main">
          <x14:cfRule type="expression" priority="1" id="{0E8E199D-719F-4555-A873-E2CBFFF98514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Y27:Y40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E11:E15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E16:E41</xm:sqref>
        </x14:dataValidation>
        <x14:dataValidation type="list" allowBlank="1" showInputMessage="1" showErrorMessage="1">
          <x14:formula1>
            <xm:f>'BDEW-Standard'!$B$3:$B$94</xm:f>
          </x14:formula1>
          <xm:sqref>E16:E28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Rhein-Sieg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RSN THE H-Gas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357">
        <f>Netzbetreiber!$D$11</f>
        <v>9870119700002</v>
      </c>
      <c r="D6" s="347"/>
      <c r="E6" s="347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0" t="s">
        <v>455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5" t="s">
        <v>582</v>
      </c>
      <c r="C10" s="356"/>
      <c r="D10" s="94">
        <v>2</v>
      </c>
      <c r="E10" s="95" t="str">
        <f>IF(ISERROR(HLOOKUP(E$11,$M$9:$AD$33,$D10,0)),"",HLOOKUP(E$11,$M$9:$AD$33,$D10,0))</f>
        <v/>
      </c>
      <c r="F10" s="353" t="s">
        <v>395</v>
      </c>
      <c r="G10" s="353"/>
      <c r="H10" s="353"/>
      <c r="I10" s="353"/>
      <c r="J10" s="353"/>
      <c r="K10" s="353"/>
      <c r="L10" s="354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3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401</v>
      </c>
      <c r="C19" s="117"/>
      <c r="D19" s="111">
        <v>11</v>
      </c>
      <c r="E19" s="315">
        <f t="shared" si="0"/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648</v>
      </c>
      <c r="C20" s="117"/>
      <c r="D20" s="111">
        <v>12</v>
      </c>
      <c r="E20" s="315">
        <f t="shared" si="0"/>
        <v>1</v>
      </c>
      <c r="F20" s="312" t="s">
        <v>399</v>
      </c>
      <c r="G20" s="80" t="s">
        <v>399</v>
      </c>
      <c r="H20" s="80" t="s">
        <v>399</v>
      </c>
      <c r="I20" s="80" t="s">
        <v>392</v>
      </c>
      <c r="J20" s="80" t="s">
        <v>399</v>
      </c>
      <c r="K20" s="80" t="s">
        <v>399</v>
      </c>
      <c r="L20" s="81" t="s">
        <v>399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415</v>
      </c>
      <c r="C21" s="117"/>
      <c r="D21" s="111">
        <v>13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399</v>
      </c>
      <c r="J21" s="80" t="s">
        <v>399</v>
      </c>
      <c r="K21" s="80" t="s">
        <v>399</v>
      </c>
      <c r="L21" s="81" t="s">
        <v>392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14</v>
      </c>
      <c r="E22" s="315">
        <f t="shared" si="0"/>
        <v>1</v>
      </c>
      <c r="F22" s="312" t="s">
        <v>392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399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417</v>
      </c>
      <c r="C23" s="117"/>
      <c r="D23" s="111">
        <v>15</v>
      </c>
      <c r="E23" s="315">
        <f t="shared" si="0"/>
        <v>1</v>
      </c>
      <c r="F23" s="312" t="s">
        <v>399</v>
      </c>
      <c r="G23" s="80" t="s">
        <v>399</v>
      </c>
      <c r="H23" s="80" t="s">
        <v>399</v>
      </c>
      <c r="I23" s="80" t="s">
        <v>392</v>
      </c>
      <c r="J23" s="80" t="s">
        <v>399</v>
      </c>
      <c r="K23" s="80" t="s">
        <v>399</v>
      </c>
      <c r="L23" s="81" t="s">
        <v>399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402</v>
      </c>
      <c r="C24" s="117"/>
      <c r="D24" s="111">
        <v>16</v>
      </c>
      <c r="E24" s="315">
        <f t="shared" si="0"/>
        <v>0</v>
      </c>
      <c r="F24" s="312" t="s">
        <v>392</v>
      </c>
      <c r="G24" s="80" t="s">
        <v>392</v>
      </c>
      <c r="H24" s="80" t="s">
        <v>392</v>
      </c>
      <c r="I24" s="80" t="s">
        <v>392</v>
      </c>
      <c r="J24" s="80" t="s">
        <v>392</v>
      </c>
      <c r="K24" s="80" t="s">
        <v>392</v>
      </c>
      <c r="L24" s="81" t="s">
        <v>392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17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404</v>
      </c>
      <c r="C26" s="117"/>
      <c r="D26" s="111">
        <v>18</v>
      </c>
      <c r="E26" s="315">
        <f t="shared" si="0"/>
        <v>1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405</v>
      </c>
      <c r="C27" s="117"/>
      <c r="D27" s="111">
        <v>19</v>
      </c>
      <c r="E27" s="315">
        <f t="shared" si="0"/>
        <v>0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406</v>
      </c>
      <c r="C28" s="117"/>
      <c r="D28" s="111">
        <v>20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407</v>
      </c>
      <c r="C29" s="117"/>
      <c r="D29" s="111">
        <v>21</v>
      </c>
      <c r="E29" s="315">
        <f t="shared" si="0"/>
        <v>0</v>
      </c>
      <c r="F29" s="312" t="s">
        <v>399</v>
      </c>
      <c r="G29" s="80" t="s">
        <v>399</v>
      </c>
      <c r="H29" s="80" t="s">
        <v>392</v>
      </c>
      <c r="I29" s="80" t="s">
        <v>399</v>
      </c>
      <c r="J29" s="80" t="s">
        <v>399</v>
      </c>
      <c r="K29" s="80" t="s">
        <v>399</v>
      </c>
      <c r="L29" s="81" t="s">
        <v>399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408</v>
      </c>
      <c r="C30" s="117"/>
      <c r="D30" s="111">
        <v>22</v>
      </c>
      <c r="E30" s="315">
        <f t="shared" si="0"/>
        <v>0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392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409</v>
      </c>
      <c r="C31" s="117"/>
      <c r="D31" s="111">
        <v>23</v>
      </c>
      <c r="E31" s="315">
        <f t="shared" si="0"/>
        <v>1</v>
      </c>
      <c r="F31" s="312" t="s">
        <v>392</v>
      </c>
      <c r="G31" s="80" t="s">
        <v>392</v>
      </c>
      <c r="H31" s="80" t="s">
        <v>392</v>
      </c>
      <c r="I31" s="80" t="s">
        <v>392</v>
      </c>
      <c r="J31" s="80" t="s">
        <v>392</v>
      </c>
      <c r="K31" s="80" t="s">
        <v>392</v>
      </c>
      <c r="L31" s="81" t="s">
        <v>392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410</v>
      </c>
      <c r="C32" s="117"/>
      <c r="D32" s="111">
        <v>24</v>
      </c>
      <c r="E32" s="315">
        <f t="shared" si="0"/>
        <v>1</v>
      </c>
      <c r="F32" s="312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392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411</v>
      </c>
      <c r="C33" s="123"/>
      <c r="D33" s="124">
        <v>25</v>
      </c>
      <c r="E33" s="316">
        <f t="shared" si="0"/>
        <v>0</v>
      </c>
      <c r="F33" s="313" t="s">
        <v>391</v>
      </c>
      <c r="G33" s="82" t="s">
        <v>391</v>
      </c>
      <c r="H33" s="82" t="s">
        <v>391</v>
      </c>
      <c r="I33" s="82" t="s">
        <v>391</v>
      </c>
      <c r="J33" s="82" t="s">
        <v>391</v>
      </c>
      <c r="K33" s="82" t="s">
        <v>391</v>
      </c>
      <c r="L33" s="83" t="s">
        <v>392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4">
    <mergeCell ref="M8:AD8"/>
    <mergeCell ref="F10:L10"/>
    <mergeCell ref="B10:C10"/>
    <mergeCell ref="C6:E6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Info</vt:lpstr>
      <vt:lpstr>Netzbetreiber</vt:lpstr>
      <vt:lpstr>SLP-Verfahren</vt:lpstr>
      <vt:lpstr>SLP-Temp-Gebiet Düsseldorf</vt:lpstr>
      <vt:lpstr>SLP-Temp-Gebiet #02</vt:lpstr>
      <vt:lpstr>SLP-Temp-Gebiet KölnBonn</vt:lpstr>
      <vt:lpstr>SLP-Profile</vt:lpstr>
      <vt:lpstr>BDEW-Standard</vt:lpstr>
      <vt:lpstr>SLP-Feiertage</vt:lpstr>
      <vt:lpstr>Wochentag F(WT)</vt:lpstr>
      <vt:lpstr>'SLP-Profile'!Druckbereich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ChristJ</cp:lastModifiedBy>
  <cp:lastPrinted>2015-07-24T10:22:39Z</cp:lastPrinted>
  <dcterms:created xsi:type="dcterms:W3CDTF">2015-01-15T05:25:41Z</dcterms:created>
  <dcterms:modified xsi:type="dcterms:W3CDTF">2021-11-16T14:01:51Z</dcterms:modified>
</cp:coreProperties>
</file>